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 tabRatio="686"/>
  </bookViews>
  <sheets>
    <sheet name="February" sheetId="5" r:id="rId1"/>
    <sheet name="March" sheetId="6" r:id="rId2"/>
    <sheet name="April" sheetId="7" r:id="rId3"/>
    <sheet name="May" sheetId="8" r:id="rId4"/>
    <sheet name="June" sheetId="9" r:id="rId5"/>
    <sheet name="July" sheetId="10" r:id="rId6"/>
    <sheet name="August" sheetId="11" r:id="rId7"/>
    <sheet name="September" sheetId="12" r:id="rId8"/>
    <sheet name="October" sheetId="14" r:id="rId9"/>
    <sheet name="November" sheetId="13" r:id="rId10"/>
    <sheet name="December" sheetId="15" r:id="rId11"/>
  </sheets>
  <definedNames>
    <definedName name="CalendarYear">#REF!</definedName>
    <definedName name="KeyCustom1">#REF!</definedName>
    <definedName name="KeyCustom1Label">#REF!</definedName>
    <definedName name="KeyCustom2">#REF!</definedName>
    <definedName name="KeyCustom2Label">#REF!</definedName>
    <definedName name="KeyPersonal">#REF!</definedName>
    <definedName name="KeyPersonalLabel">#REF!</definedName>
    <definedName name="KeySick">#REF!</definedName>
    <definedName name="KeySickLabel">#REF!</definedName>
    <definedName name="KeyVacation">#REF!</definedName>
    <definedName name="KeyVacationLabel">#REF!</definedName>
    <definedName name="MonthName" localSheetId="2">April!$A$2</definedName>
    <definedName name="MonthName" localSheetId="6">August!$A$2</definedName>
    <definedName name="MonthName" localSheetId="10">December!$A$2</definedName>
    <definedName name="MonthName" localSheetId="0">February!$A$2</definedName>
    <definedName name="MonthName" localSheetId="5">July!$A$2</definedName>
    <definedName name="MonthName" localSheetId="4">June!$A$2</definedName>
    <definedName name="MonthName" localSheetId="1">March!$A$2</definedName>
    <definedName name="MonthName" localSheetId="3">May!$A$2</definedName>
    <definedName name="MonthName" localSheetId="9">November!$A$2</definedName>
    <definedName name="MonthName" localSheetId="8">October!$A$2</definedName>
    <definedName name="MonthName" localSheetId="7">September!$A$2</definedName>
  </definedNames>
  <calcPr calcId="145621"/>
</workbook>
</file>

<file path=xl/calcChain.xml><?xml version="1.0" encoding="utf-8"?>
<calcChain xmlns="http://schemas.openxmlformats.org/spreadsheetml/2006/main">
  <c r="W12" i="6" l="1"/>
  <c r="W12" i="7"/>
  <c r="W12" i="8"/>
  <c r="W12" i="9"/>
  <c r="W12" i="10"/>
  <c r="W12" i="11"/>
  <c r="W12" i="12"/>
  <c r="W12" i="14"/>
  <c r="W12" i="13"/>
  <c r="W12" i="15"/>
  <c r="W12" i="5"/>
  <c r="S12" i="6"/>
  <c r="S12" i="7"/>
  <c r="S12" i="8"/>
  <c r="S12" i="9"/>
  <c r="S12" i="10"/>
  <c r="S12" i="11"/>
  <c r="S12" i="12"/>
  <c r="S12" i="14"/>
  <c r="S12" i="13"/>
  <c r="S12" i="15"/>
  <c r="S12" i="5"/>
  <c r="X12" i="6" l="1"/>
  <c r="X12" i="7"/>
  <c r="X12" i="8"/>
  <c r="X12" i="9"/>
  <c r="X12" i="10"/>
  <c r="X12" i="11"/>
  <c r="X12" i="12"/>
  <c r="X12" i="14"/>
  <c r="X12" i="13"/>
  <c r="X12" i="15"/>
  <c r="X12" i="5"/>
  <c r="T12" i="6"/>
  <c r="T12" i="7"/>
  <c r="T12" i="8"/>
  <c r="T12" i="9"/>
  <c r="T12" i="10"/>
  <c r="T12" i="11"/>
  <c r="T12" i="12"/>
  <c r="T12" i="14"/>
  <c r="T12" i="13"/>
  <c r="T12" i="15"/>
  <c r="T12" i="5"/>
  <c r="P12" i="6"/>
  <c r="P12" i="7"/>
  <c r="P12" i="8"/>
  <c r="P12" i="9"/>
  <c r="P12" i="10"/>
  <c r="P12" i="11"/>
  <c r="P12" i="12"/>
  <c r="P12" i="14"/>
  <c r="P12" i="13"/>
  <c r="P12" i="15"/>
  <c r="P12" i="5"/>
  <c r="L12" i="6"/>
  <c r="L12" i="7"/>
  <c r="L12" i="8"/>
  <c r="L12" i="9"/>
  <c r="L12" i="10"/>
  <c r="L12" i="11"/>
  <c r="L12" i="12"/>
  <c r="L12" i="14"/>
  <c r="L12" i="13"/>
  <c r="L12" i="15"/>
  <c r="L12" i="5"/>
  <c r="H12" i="6"/>
  <c r="H12" i="7"/>
  <c r="H12" i="8"/>
  <c r="H12" i="9"/>
  <c r="H12" i="10"/>
  <c r="H12" i="11"/>
  <c r="H12" i="12"/>
  <c r="H12" i="14"/>
  <c r="H12" i="13"/>
  <c r="H12" i="15"/>
  <c r="H12" i="5"/>
  <c r="O12" i="7"/>
  <c r="O12" i="8"/>
  <c r="O12" i="9"/>
  <c r="O12" i="10"/>
  <c r="O12" i="11"/>
  <c r="O12" i="12"/>
  <c r="O12" i="14"/>
  <c r="O12" i="13"/>
  <c r="O12" i="15"/>
  <c r="O12" i="6"/>
  <c r="K12" i="7"/>
  <c r="K12" i="8"/>
  <c r="K12" i="9"/>
  <c r="K12" i="10"/>
  <c r="K12" i="11"/>
  <c r="K12" i="12"/>
  <c r="K12" i="14"/>
  <c r="K12" i="13"/>
  <c r="K12" i="15"/>
  <c r="K12" i="6"/>
  <c r="G12" i="7"/>
  <c r="G12" i="8"/>
  <c r="G12" i="9"/>
  <c r="G12" i="10"/>
  <c r="G12" i="11"/>
  <c r="G12" i="12"/>
  <c r="G12" i="14"/>
  <c r="G12" i="13"/>
  <c r="G12" i="15"/>
  <c r="G12" i="6"/>
  <c r="G12" i="5"/>
  <c r="K12" i="5"/>
  <c r="O12" i="5"/>
  <c r="A10" i="15" l="1"/>
  <c r="A10" i="13"/>
  <c r="A10" i="14"/>
  <c r="A10" i="12"/>
  <c r="A10" i="11"/>
  <c r="A10" i="10"/>
  <c r="A10" i="9"/>
  <c r="A10" i="8"/>
  <c r="A10" i="7"/>
  <c r="A10" i="6"/>
  <c r="A10" i="5"/>
  <c r="AF3" i="15" l="1"/>
  <c r="AE3" i="15"/>
  <c r="AD3" i="15"/>
  <c r="AC3" i="15"/>
  <c r="AB3" i="15"/>
  <c r="AA3" i="15"/>
  <c r="Z3" i="15"/>
  <c r="Y3" i="15"/>
  <c r="X3" i="15"/>
  <c r="W3" i="15"/>
  <c r="V3" i="15"/>
  <c r="U3" i="15"/>
  <c r="T3" i="15"/>
  <c r="S3" i="15"/>
  <c r="R3" i="15"/>
  <c r="Q3" i="15"/>
  <c r="P3" i="15"/>
  <c r="O3" i="15"/>
  <c r="N3" i="15"/>
  <c r="M3" i="15"/>
  <c r="L3" i="15"/>
  <c r="K3" i="15"/>
  <c r="J3" i="15"/>
  <c r="I3" i="15"/>
  <c r="H3" i="15"/>
  <c r="G3" i="15"/>
  <c r="F3" i="15"/>
  <c r="E3" i="15"/>
  <c r="D3" i="15"/>
  <c r="C3" i="15"/>
  <c r="B3" i="15"/>
  <c r="AE3" i="13"/>
  <c r="AD3" i="13"/>
  <c r="AC3" i="13"/>
  <c r="AB3" i="13"/>
  <c r="AA3" i="13"/>
  <c r="Z3" i="13"/>
  <c r="Y3" i="13"/>
  <c r="X3" i="13"/>
  <c r="W3" i="13"/>
  <c r="V3" i="13"/>
  <c r="U3" i="13"/>
  <c r="T3" i="13"/>
  <c r="S3" i="13"/>
  <c r="R3" i="13"/>
  <c r="Q3" i="13"/>
  <c r="P3" i="13"/>
  <c r="O3" i="13"/>
  <c r="N3" i="13"/>
  <c r="M3" i="13"/>
  <c r="L3" i="13"/>
  <c r="K3" i="13"/>
  <c r="J3" i="13"/>
  <c r="I3" i="13"/>
  <c r="H3" i="13"/>
  <c r="G3" i="13"/>
  <c r="F3" i="13"/>
  <c r="E3" i="13"/>
  <c r="D3" i="13"/>
  <c r="C3" i="13"/>
  <c r="B3" i="13"/>
  <c r="AF3" i="14"/>
  <c r="AE3" i="14"/>
  <c r="AD3" i="14"/>
  <c r="AC3" i="14"/>
  <c r="AB3" i="14"/>
  <c r="AA3" i="14"/>
  <c r="Z3" i="14"/>
  <c r="Y3" i="14"/>
  <c r="X3" i="14"/>
  <c r="W3" i="14"/>
  <c r="V3" i="14"/>
  <c r="U3" i="14"/>
  <c r="T3" i="14"/>
  <c r="S3" i="14"/>
  <c r="R3" i="14"/>
  <c r="Q3" i="14"/>
  <c r="P3" i="14"/>
  <c r="O3" i="14"/>
  <c r="N3" i="14"/>
  <c r="M3" i="14"/>
  <c r="L3" i="14"/>
  <c r="K3" i="14"/>
  <c r="J3" i="14"/>
  <c r="I3" i="14"/>
  <c r="H3" i="14"/>
  <c r="G3" i="14"/>
  <c r="F3" i="14"/>
  <c r="E3" i="14"/>
  <c r="D3" i="14"/>
  <c r="C3" i="14"/>
  <c r="B3" i="14"/>
  <c r="B12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C10" i="15"/>
  <c r="B10" i="15"/>
  <c r="AG9" i="15"/>
  <c r="AG8" i="15"/>
  <c r="AG7" i="15"/>
  <c r="AG6" i="15"/>
  <c r="AG5" i="15"/>
  <c r="AG2" i="15"/>
  <c r="B12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G9" i="14"/>
  <c r="AG8" i="14"/>
  <c r="AG7" i="14"/>
  <c r="AG6" i="14"/>
  <c r="AG5" i="14"/>
  <c r="AG2" i="14"/>
  <c r="B12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AG9" i="13"/>
  <c r="AG8" i="13"/>
  <c r="AG7" i="13"/>
  <c r="AG6" i="13"/>
  <c r="AG5" i="13"/>
  <c r="AG2" i="13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F3" i="11"/>
  <c r="AE3" i="11"/>
  <c r="AD3" i="11"/>
  <c r="AC3" i="11"/>
  <c r="AB3" i="11"/>
  <c r="AA3" i="11"/>
  <c r="Z3" i="11"/>
  <c r="Y3" i="11"/>
  <c r="X3" i="11"/>
  <c r="W3" i="11"/>
  <c r="V3" i="11"/>
  <c r="U3" i="11"/>
  <c r="T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E3" i="11"/>
  <c r="D3" i="11"/>
  <c r="C3" i="11"/>
  <c r="B3" i="11"/>
  <c r="AF3" i="10"/>
  <c r="AE3" i="10"/>
  <c r="AD3" i="10"/>
  <c r="AC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E3" i="10"/>
  <c r="D3" i="10"/>
  <c r="C3" i="10"/>
  <c r="B3" i="10"/>
  <c r="B12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G9" i="12"/>
  <c r="AG8" i="12"/>
  <c r="AG7" i="12"/>
  <c r="AG6" i="12"/>
  <c r="AG5" i="12"/>
  <c r="AG2" i="12"/>
  <c r="B12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AG9" i="11"/>
  <c r="AG8" i="11"/>
  <c r="AG7" i="11"/>
  <c r="AG6" i="11"/>
  <c r="AG5" i="11"/>
  <c r="AG2" i="11"/>
  <c r="B12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AG9" i="10"/>
  <c r="AG8" i="10"/>
  <c r="AG7" i="10"/>
  <c r="AG6" i="10"/>
  <c r="AG5" i="10"/>
  <c r="AG2" i="10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K3" i="9"/>
  <c r="J3" i="9"/>
  <c r="I3" i="9"/>
  <c r="H3" i="9"/>
  <c r="G3" i="9"/>
  <c r="F3" i="9"/>
  <c r="E3" i="9"/>
  <c r="D3" i="9"/>
  <c r="C3" i="9"/>
  <c r="B3" i="9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B3" i="8"/>
  <c r="B12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AG9" i="9"/>
  <c r="AG8" i="9"/>
  <c r="AG7" i="9"/>
  <c r="AG6" i="9"/>
  <c r="AG5" i="9"/>
  <c r="AG2" i="9"/>
  <c r="B12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G9" i="8"/>
  <c r="AG8" i="8"/>
  <c r="AG7" i="8"/>
  <c r="AG6" i="8"/>
  <c r="AG5" i="8"/>
  <c r="AG2" i="8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/>
  <c r="G3" i="7"/>
  <c r="F3" i="7"/>
  <c r="E3" i="7"/>
  <c r="D3" i="7"/>
  <c r="C3" i="7"/>
  <c r="B3" i="7"/>
  <c r="B12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AG9" i="7"/>
  <c r="AG8" i="7"/>
  <c r="AG7" i="7"/>
  <c r="AG6" i="7"/>
  <c r="AG5" i="7"/>
  <c r="AG2" i="7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B12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AG9" i="6"/>
  <c r="AG8" i="6"/>
  <c r="AG7" i="6"/>
  <c r="AG6" i="6"/>
  <c r="AG5" i="6"/>
  <c r="AG2" i="6"/>
  <c r="AG10" i="6" l="1"/>
  <c r="AG10" i="12"/>
  <c r="AG10" i="14"/>
  <c r="AG10" i="9"/>
  <c r="AG10" i="10"/>
  <c r="AG10" i="7"/>
  <c r="AG10" i="8"/>
  <c r="AG10" i="11"/>
  <c r="AG10" i="13"/>
  <c r="AG10" i="15"/>
  <c r="AG9" i="5"/>
  <c r="AG8" i="5"/>
  <c r="AG7" i="5"/>
  <c r="B12" i="5"/>
  <c r="AG2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G6" i="5"/>
  <c r="AG5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B3" i="5"/>
  <c r="AG10" i="5" l="1"/>
</calcChain>
</file>

<file path=xl/sharedStrings.xml><?xml version="1.0" encoding="utf-8"?>
<sst xmlns="http://schemas.openxmlformats.org/spreadsheetml/2006/main" count="472" uniqueCount="56">
  <si>
    <t>Employee Absence Schedule</t>
  </si>
  <si>
    <t>Dates of Absence</t>
  </si>
  <si>
    <t>Employee Name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</si>
  <si>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</si>
  <si>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</si>
  <si>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</si>
  <si>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</si>
  <si>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</si>
  <si>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</si>
  <si>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</si>
  <si>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</si>
  <si>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</si>
  <si>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</si>
  <si>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</si>
  <si>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</si>
  <si>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</si>
  <si>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</si>
  <si>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</si>
  <si>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</si>
  <si>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</si>
  <si>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</si>
  <si>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</si>
  <si>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</si>
  <si>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</si>
  <si>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</si>
  <si>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</si>
  <si>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</si>
  <si>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</si>
  <si>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</si>
  <si>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</si>
  <si>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</si>
  <si>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</si>
  <si>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</si>
  <si>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</si>
  <si>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Total Days</t>
  </si>
  <si>
    <t>S</t>
  </si>
  <si>
    <t>V</t>
  </si>
  <si>
    <t xml:space="preserve"> </t>
  </si>
  <si>
    <t xml:space="preserve">  </t>
  </si>
  <si>
    <t>P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</si>
  <si>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</si>
  <si>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</si>
  <si>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</si>
  <si>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</si>
  <si>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</si>
  <si>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</si>
  <si>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</si>
  <si>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</si>
  <si>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</si>
  <si>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</si>
  <si>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</si>
  <si>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Jill Marston</t>
  </si>
  <si>
    <t>Sam Smith</t>
  </si>
  <si>
    <t>Teresa Martinez</t>
  </si>
  <si>
    <t>Jackson Motton</t>
  </si>
  <si>
    <t>Annabelle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</si>
</sst>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0;"/>
  </numFmts>
  <fonts count="14" x14ac:knownFonts="1"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2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3"/>
      <name val="Calibri"/>
      <family val="2"/>
      <scheme val="major"/>
    </font>
    <font>
      <sz val="9"/>
      <name val="Calibri"/>
      <family val="2"/>
      <scheme val="minor"/>
    </font>
    <font>
      <sz val="18"/>
      <color theme="3"/>
      <name val="Calibri"/>
      <family val="2"/>
      <scheme val="minor"/>
    </font>
    <font>
      <b/>
      <sz val="18"/>
      <color theme="4" tint="-0.249977111117893"/>
      <name val="Calibri"/>
      <family val="2"/>
      <scheme val="major"/>
    </font>
    <font>
      <b/>
      <sz val="16"/>
      <color theme="4" tint="-0.249977111117893"/>
      <name val="Calibri"/>
      <family val="2"/>
      <scheme val="major"/>
    </font>
    <font>
      <b/>
      <sz val="18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indent="2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/>
    <xf numFmtId="0" fontId="0" fillId="0" borderId="0" xfId="0" applyBorder="1" applyAlignment="1">
      <alignment vertical="top"/>
    </xf>
    <xf numFmtId="0" fontId="1" fillId="0" borderId="0" xfId="0" applyFont="1" applyFill="1" applyAlignment="1">
      <alignment vertical="top"/>
    </xf>
    <xf numFmtId="0" fontId="2" fillId="0" borderId="0" xfId="0" applyFont="1" applyBorder="1" applyAlignment="1">
      <alignment vertical="top"/>
    </xf>
    <xf numFmtId="164" fontId="5" fillId="5" borderId="0" xfId="0" applyNumberFormat="1" applyFont="1" applyFill="1" applyBorder="1" applyAlignment="1">
      <alignment horizontal="center" vertical="center"/>
    </xf>
    <xf numFmtId="164" fontId="5" fillId="6" borderId="0" xfId="0" applyNumberFormat="1" applyFont="1" applyFill="1" applyBorder="1" applyAlignment="1">
      <alignment horizontal="center" vertical="center"/>
    </xf>
    <xf numFmtId="164" fontId="5" fillId="7" borderId="0" xfId="0" applyNumberFormat="1" applyFont="1" applyFill="1" applyBorder="1" applyAlignment="1">
      <alignment horizontal="center" vertical="center"/>
    </xf>
    <xf numFmtId="164" fontId="5" fillId="8" borderId="0" xfId="0" applyNumberFormat="1" applyFont="1" applyFill="1" applyBorder="1" applyAlignment="1">
      <alignment horizontal="center" vertical="center"/>
    </xf>
    <xf numFmtId="164" fontId="5" fillId="4" borderId="0" xfId="0" applyNumberFormat="1" applyFont="1" applyFill="1" applyBorder="1" applyAlignment="1">
      <alignment horizontal="center" vertical="center"/>
    </xf>
    <xf numFmtId="49" fontId="7" fillId="0" borderId="0" xfId="1" applyNumberFormat="1" applyFill="1" applyBorder="1" applyAlignment="1">
      <alignment vertical="top"/>
    </xf>
    <xf numFmtId="0" fontId="8" fillId="3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 indent="1"/>
    </xf>
    <xf numFmtId="164" fontId="0" fillId="9" borderId="0" xfId="0" applyNumberFormat="1" applyFont="1" applyFill="1" applyBorder="1" applyAlignment="1">
      <alignment horizontal="left" vertical="center"/>
    </xf>
    <xf numFmtId="0" fontId="1" fillId="9" borderId="0" xfId="0" applyFont="1" applyFill="1" applyAlignment="1">
      <alignment vertical="center"/>
    </xf>
    <xf numFmtId="164" fontId="0" fillId="9" borderId="0" xfId="0" applyNumberFormat="1" applyFont="1" applyFill="1" applyBorder="1" applyAlignment="1">
      <alignment horizontal="center" vertical="center"/>
    </xf>
    <xf numFmtId="164" fontId="6" fillId="10" borderId="0" xfId="0" applyNumberFormat="1" applyFont="1" applyFill="1" applyBorder="1" applyAlignment="1">
      <alignment vertical="center"/>
    </xf>
    <xf numFmtId="164" fontId="0" fillId="1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center" vertical="center"/>
    </xf>
    <xf numFmtId="17" fontId="10" fillId="2" borderId="0" xfId="0" applyNumberFormat="1" applyFont="1" applyFill="1" applyBorder="1" applyAlignment="1">
      <alignment horizontal="left" vertical="center" indent="1"/>
    </xf>
    <xf numFmtId="0" fontId="12" fillId="2" borderId="0" xfId="2" applyFont="1" applyFill="1" applyBorder="1" applyAlignment="1">
      <alignment horizontal="right" vertical="center" indent="1"/>
    </xf>
    <xf numFmtId="49" fontId="1" fillId="0" borderId="0" xfId="0" applyNumberFormat="1" applyFont="1" applyAlignment="1">
      <alignment horizontal="center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/>
    <cellStyle name="Title" xfId="1" builtinId="15" customBuiltin="1"/>
  </cellStyles>
  <dxfs count="7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border>
        <vertical/>
        <horizontal/>
      </border>
    </dxf>
    <dxf>
      <font>
        <color theme="3"/>
      </font>
      <border>
        <vertical/>
        <horizontal/>
      </border>
    </dxf>
    <dxf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medium">
          <color theme="2" tint="-0.499984740745262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3743705557422"/>
        </top>
        <bottom style="thin">
          <color theme="0" tint="-0.14996795556505021"/>
        </bottom>
        <vertical/>
        <horizontal style="thin">
          <color theme="0" tint="-0.14993743705557422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0.14996795556505021"/>
        </patternFill>
      </fill>
    </dxf>
    <dxf>
      <fill>
        <patternFill patternType="solid">
          <fgColor theme="4" tint="0.79992065187536243"/>
          <bgColor theme="0" tint="-4.9989318521683403E-2"/>
        </patternFill>
      </fill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2" tint="-9.9917600024414813E-2"/>
        </top>
        <bottom style="thin">
          <color theme="2" tint="-9.9948118533890809E-2"/>
        </bottom>
        <vertical/>
        <horizontal style="thin">
          <color theme="2" tint="-9.9917600024414813E-2"/>
        </horizontal>
      </border>
    </dxf>
    <dxf>
      <font>
        <color theme="1"/>
      </font>
      <fill>
        <patternFill>
          <bgColor theme="2" tint="-0.24994659260841701"/>
        </patternFill>
      </fill>
      <border diagonalUp="0" diagonalDown="0">
        <left style="thin">
          <color theme="0"/>
        </left>
        <right style="thin">
          <color theme="0"/>
        </right>
        <top/>
        <bottom style="medium">
          <color theme="2" tint="-0.499984740745262"/>
        </bottom>
        <vertical style="thin">
          <color theme="0"/>
        </vertical>
        <horizontal/>
      </border>
    </dxf>
    <dxf>
      <font>
        <color theme="0"/>
      </font>
      <fill>
        <patternFill>
          <bgColor theme="3"/>
        </patternFill>
      </fill>
    </dxf>
    <dxf>
      <font>
        <color theme="4" tint="-0.249977111117893"/>
      </font>
      <border diagonalUp="0" diagonalDown="0">
        <left/>
        <right/>
        <top/>
        <bottom/>
        <vertical style="thin">
          <color theme="0"/>
        </vertical>
        <horizontal/>
      </border>
    </dxf>
  </dxfs>
  <tableStyles count="1" defaultTableStyle="TableStyleMedium2" defaultPivotStyle="PivotStyleLight16">
    <tableStyle name="Employee Absence Table" pivot="0" count="13">
      <tableStyleElement type="wholeTable" dxfId="784"/>
      <tableStyleElement type="headerRow" dxfId="783"/>
      <tableStyleElement type="totalRow" dxfId="782"/>
      <tableStyleElement type="firstColumn" dxfId="781"/>
      <tableStyleElement type="lastColumn" dxfId="780"/>
      <tableStyleElement type="firstRowStripe" dxfId="779"/>
      <tableStyleElement type="secondRowStripe" dxfId="778"/>
      <tableStyleElement type="firstColumnStripe" dxfId="777"/>
      <tableStyleElement type="secondColumnStripe" dxfId="776"/>
      <tableStyleElement type="firstHeaderCell" dxfId="775"/>
      <tableStyleElement type="lastHeaderCell" dxfId="774"/>
      <tableStyleElement type="firstTotalCell" dxfId="773"/>
      <tableStyleElement type="lastTotalCell" dxfId="77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blFebruary" displayName="tblFebruary" ref="A4:AG10" totalsRowCount="1">
  <tableColumns count="33">
    <tableColumn id="1" name="Employee Name" totalsRowFunction="custom" dataDxfId="764" totalsRowDxfId="763">
      <totalsRowFormula>MonthName&amp;" Total"</totalsRowFormula>
    </tableColumn>
    <tableColumn id="2" name="1" totalsRowFunction="count" dataDxfId="762" totalsRowDxfId="761"/>
    <tableColumn id="3" name="2" totalsRowFunction="count" dataDxfId="760" totalsRowDxfId="759"/>
    <tableColumn id="4" name="3" totalsRowFunction="count" dataDxfId="758" totalsRowDxfId="757"/>
    <tableColumn id="5" name="4" totalsRowFunction="count" dataDxfId="756" totalsRowDxfId="755"/>
    <tableColumn id="6" name="5" totalsRowFunction="count" dataDxfId="754" totalsRowDxfId="753"/>
    <tableColumn id="7" name="6" totalsRowFunction="count" dataDxfId="752" totalsRowDxfId="751"/>
    <tableColumn id="8" name="7" totalsRowFunction="count" dataDxfId="750" totalsRowDxfId="749"/>
    <tableColumn id="9" name="8" totalsRowFunction="count" dataDxfId="748" totalsRowDxfId="747"/>
    <tableColumn id="10" name="9" totalsRowFunction="count" dataDxfId="746" totalsRowDxfId="745"/>
    <tableColumn id="11" name="10" totalsRowFunction="count" dataDxfId="744" totalsRowDxfId="743"/>
    <tableColumn id="12" name="11" totalsRowFunction="count" dataDxfId="742" totalsRowDxfId="741"/>
    <tableColumn id="13" name="12" totalsRowFunction="count" dataDxfId="740" totalsRowDxfId="739"/>
    <tableColumn id="14" name="13" totalsRowFunction="count" dataDxfId="738" totalsRowDxfId="737"/>
    <tableColumn id="15" name="14" totalsRowFunction="count" dataDxfId="736" totalsRowDxfId="735"/>
    <tableColumn id="16" name="15" totalsRowFunction="count" dataDxfId="734" totalsRowDxfId="733"/>
    <tableColumn id="17" name="16" totalsRowFunction="count" dataDxfId="732" totalsRowDxfId="731"/>
    <tableColumn id="18" name="17" totalsRowFunction="count" dataDxfId="730" totalsRowDxfId="729"/>
    <tableColumn id="19" name="18" totalsRowFunction="count" dataDxfId="728" totalsRowDxfId="727"/>
    <tableColumn id="20" name="19" totalsRowFunction="count" dataDxfId="726" totalsRowDxfId="725"/>
    <tableColumn id="21" name="20" totalsRowFunction="count" dataDxfId="724" totalsRowDxfId="723"/>
    <tableColumn id="22" name="21" totalsRowFunction="count" dataDxfId="722" totalsRowDxfId="721"/>
    <tableColumn id="23" name="22" totalsRowFunction="count" dataDxfId="720" totalsRowDxfId="719"/>
    <tableColumn id="24" name="23" totalsRowFunction="count" dataDxfId="718" totalsRowDxfId="717"/>
    <tableColumn id="25" name="24" totalsRowFunction="count" dataDxfId="716" totalsRowDxfId="715"/>
    <tableColumn id="26" name="25" totalsRowFunction="count" dataDxfId="714" totalsRowDxfId="713"/>
    <tableColumn id="27" name="26" totalsRowFunction="count" dataDxfId="712" totalsRowDxfId="711"/>
    <tableColumn id="28" name="27" totalsRowFunction="count" dataDxfId="710" totalsRowDxfId="709"/>
    <tableColumn id="29" name="28" totalsRowFunction="count" dataDxfId="708" totalsRowDxfId="707"/>
    <tableColumn id="30" name="29" totalsRowFunction="count" dataDxfId="706" totalsRowDxfId="705"/>
    <tableColumn id="31" name=" " dataDxfId="704" totalsRowDxfId="703"/>
    <tableColumn id="32" name="  " dataDxfId="702" totalsRowDxfId="701"/>
    <tableColumn id="33" name="Total Days" totalsRowFunction="sum" totalsRowDxfId="700">
      <calculatedColumnFormula>COUNTA(tblFebruary[[#This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February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10.xml><?xml version="1.0" encoding="utf-8"?>
<table xmlns="http://schemas.openxmlformats.org/spreadsheetml/2006/main" id="10" name="tblNovember" displayName="tblNovember" ref="A4:AG10" totalsRowCount="1">
  <tableColumns count="33">
    <tableColumn id="1" name="Employee Name" totalsRowFunction="custom" dataDxfId="134" totalsRowDxfId="133">
      <totalsRowFormula>MonthName&amp;" Total"</totalsRowFormula>
    </tableColumn>
    <tableColumn id="2" name="1" totalsRowFunction="count" dataDxfId="132" totalsRowDxfId="131"/>
    <tableColumn id="3" name="2" totalsRowFunction="count" dataDxfId="130" totalsRowDxfId="129"/>
    <tableColumn id="4" name="3" totalsRowFunction="count" dataDxfId="128" totalsRowDxfId="127"/>
    <tableColumn id="5" name="4" totalsRowFunction="count" dataDxfId="126" totalsRowDxfId="125"/>
    <tableColumn id="6" name="5" totalsRowFunction="count" dataDxfId="124" totalsRowDxfId="123"/>
    <tableColumn id="7" name="6" totalsRowFunction="count" dataDxfId="122" totalsRowDxfId="121"/>
    <tableColumn id="8" name="7" totalsRowFunction="count" dataDxfId="120" totalsRowDxfId="119"/>
    <tableColumn id="9" name="8" totalsRowFunction="count" dataDxfId="118" totalsRowDxfId="117"/>
    <tableColumn id="10" name="9" totalsRowFunction="count" dataDxfId="116" totalsRowDxfId="115"/>
    <tableColumn id="11" name="10" totalsRowFunction="count" dataDxfId="114" totalsRowDxfId="113"/>
    <tableColumn id="12" name="11" totalsRowFunction="count" dataDxfId="112" totalsRowDxfId="111"/>
    <tableColumn id="13" name="12" totalsRowFunction="count" dataDxfId="110" totalsRowDxfId="109"/>
    <tableColumn id="14" name="13" totalsRowFunction="count" dataDxfId="108" totalsRowDxfId="107"/>
    <tableColumn id="15" name="14" totalsRowFunction="count" dataDxfId="106" totalsRowDxfId="105"/>
    <tableColumn id="16" name="15" totalsRowFunction="count" dataDxfId="104" totalsRowDxfId="103"/>
    <tableColumn id="17" name="16" totalsRowFunction="count" dataDxfId="102" totalsRowDxfId="101"/>
    <tableColumn id="18" name="17" totalsRowFunction="count" dataDxfId="100" totalsRowDxfId="99"/>
    <tableColumn id="19" name="18" totalsRowFunction="count" dataDxfId="98" totalsRowDxfId="97"/>
    <tableColumn id="20" name="19" totalsRowFunction="count" dataDxfId="96" totalsRowDxfId="95"/>
    <tableColumn id="21" name="20" totalsRowFunction="count" dataDxfId="94" totalsRowDxfId="93"/>
    <tableColumn id="22" name="21" totalsRowFunction="count" dataDxfId="92" totalsRowDxfId="91"/>
    <tableColumn id="23" name="22" totalsRowFunction="count" dataDxfId="90" totalsRowDxfId="89"/>
    <tableColumn id="24" name="23" totalsRowFunction="count" dataDxfId="88" totalsRowDxfId="87"/>
    <tableColumn id="25" name="24" totalsRowFunction="count" dataDxfId="86" totalsRowDxfId="85"/>
    <tableColumn id="26" name="25" totalsRowFunction="count" dataDxfId="84" totalsRowDxfId="83"/>
    <tableColumn id="27" name="26" totalsRowFunction="count" dataDxfId="82" totalsRowDxfId="81"/>
    <tableColumn id="28" name="27" totalsRowFunction="count" dataDxfId="80" totalsRowDxfId="79"/>
    <tableColumn id="29" name="28" totalsRowFunction="count" dataDxfId="78" totalsRowDxfId="77"/>
    <tableColumn id="30" name="29" totalsRowFunction="count" dataDxfId="76" totalsRowDxfId="75"/>
    <tableColumn id="31" name="30" dataDxfId="74" totalsRowDxfId="73"/>
    <tableColumn id="32" name=" " dataDxfId="72" totalsRowDxfId="71"/>
    <tableColumn id="33" name="Total Days" totalsRowFunction="sum" totalsRowDxfId="70">
      <calculatedColumnFormula>COUNTA(tblNovember[[#This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November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11.xml><?xml version="1.0" encoding="utf-8"?>
<table xmlns="http://schemas.openxmlformats.org/spreadsheetml/2006/main" id="12" name="tblDecember" displayName="tblDecember" ref="A4:AG10" totalsRowCount="1">
  <tableColumns count="33">
    <tableColumn id="1" name="Employee Name" totalsRowFunction="custom" dataDxfId="64" totalsRowDxfId="63">
      <totalsRowFormula>MonthName&amp;" Total"</totalsRowFormula>
    </tableColumn>
    <tableColumn id="2" name="1" totalsRowFunction="count" dataDxfId="62" totalsRowDxfId="61"/>
    <tableColumn id="3" name="2" totalsRowFunction="count" dataDxfId="60" totalsRowDxfId="59"/>
    <tableColumn id="4" name="3" totalsRowFunction="count" dataDxfId="58" totalsRowDxfId="57"/>
    <tableColumn id="5" name="4" totalsRowFunction="count" dataDxfId="56" totalsRowDxfId="55"/>
    <tableColumn id="6" name="5" totalsRowFunction="count" dataDxfId="54" totalsRowDxfId="53"/>
    <tableColumn id="7" name="6" totalsRowFunction="count" dataDxfId="52" totalsRowDxfId="51"/>
    <tableColumn id="8" name="7" totalsRowFunction="count" dataDxfId="50" totalsRowDxfId="49"/>
    <tableColumn id="9" name="8" totalsRowFunction="count" dataDxfId="48" totalsRowDxfId="47"/>
    <tableColumn id="10" name="9" totalsRowFunction="count" dataDxfId="46" totalsRowDxfId="45"/>
    <tableColumn id="11" name="10" totalsRowFunction="count" dataDxfId="44" totalsRowDxfId="43"/>
    <tableColumn id="12" name="11" totalsRowFunction="count" dataDxfId="42" totalsRowDxfId="41"/>
    <tableColumn id="13" name="12" totalsRowFunction="count" dataDxfId="40" totalsRowDxfId="39"/>
    <tableColumn id="14" name="13" totalsRowFunction="count" dataDxfId="38" totalsRowDxfId="37"/>
    <tableColumn id="15" name="14" totalsRowFunction="count" dataDxfId="36" totalsRowDxfId="35"/>
    <tableColumn id="16" name="15" totalsRowFunction="count" dataDxfId="34" totalsRowDxfId="33"/>
    <tableColumn id="17" name="16" totalsRowFunction="count" dataDxfId="32" totalsRowDxfId="31"/>
    <tableColumn id="18" name="17" totalsRowFunction="count" dataDxfId="30" totalsRowDxfId="29"/>
    <tableColumn id="19" name="18" totalsRowFunction="count" dataDxfId="28" totalsRowDxfId="27"/>
    <tableColumn id="20" name="19" totalsRowFunction="count" dataDxfId="26" totalsRowDxfId="25"/>
    <tableColumn id="21" name="20" totalsRowFunction="count" dataDxfId="24" totalsRowDxfId="23"/>
    <tableColumn id="22" name="21" totalsRowFunction="count" dataDxfId="22" totalsRowDxfId="21"/>
    <tableColumn id="23" name="22" totalsRowFunction="count" dataDxfId="20" totalsRowDxfId="19"/>
    <tableColumn id="24" name="23" totalsRowFunction="count" dataDxfId="18" totalsRowDxfId="17"/>
    <tableColumn id="25" name="24" totalsRowFunction="count" dataDxfId="16" totalsRowDxfId="15"/>
    <tableColumn id="26" name="25" totalsRowFunction="count" dataDxfId="14" totalsRowDxfId="13"/>
    <tableColumn id="27" name="26" totalsRowFunction="count" dataDxfId="12" totalsRowDxfId="11"/>
    <tableColumn id="28" name="27" totalsRowFunction="count" dataDxfId="10" totalsRowDxfId="9"/>
    <tableColumn id="29" name="28" totalsRowFunction="count" dataDxfId="8" totalsRowDxfId="7"/>
    <tableColumn id="30" name="29" totalsRowFunction="count" dataDxfId="6" totalsRowDxfId="5"/>
    <tableColumn id="31" name="30" dataDxfId="4" totalsRowDxfId="3"/>
    <tableColumn id="32" name="31" dataDxfId="2" totalsRowDxfId="1"/>
    <tableColumn id="33" name="Total Days" totalsRowFunction="sum" totalsRowDxfId="0">
      <calculatedColumnFormula>COUNTA(tblDecember[[#This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December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2.xml><?xml version="1.0" encoding="utf-8"?>
<table xmlns="http://schemas.openxmlformats.org/spreadsheetml/2006/main" id="1" name="tblMarch" displayName="tblMarch" ref="A4:AG10" totalsRowCount="1">
  <tableColumns count="33">
    <tableColumn id="1" name="Employee Name" totalsRowFunction="custom" dataDxfId="694" totalsRowDxfId="693">
      <totalsRowFormula>MonthName&amp;" Total"</totalsRowFormula>
    </tableColumn>
    <tableColumn id="2" name="1" totalsRowFunction="count" dataDxfId="692" totalsRowDxfId="691"/>
    <tableColumn id="3" name="2" totalsRowFunction="count" dataDxfId="690" totalsRowDxfId="689"/>
    <tableColumn id="4" name="3" totalsRowFunction="count" dataDxfId="688" totalsRowDxfId="687"/>
    <tableColumn id="5" name="4" totalsRowFunction="count" dataDxfId="686" totalsRowDxfId="685"/>
    <tableColumn id="6" name="5" totalsRowFunction="count" dataDxfId="684" totalsRowDxfId="683"/>
    <tableColumn id="7" name="6" totalsRowFunction="count" dataDxfId="682" totalsRowDxfId="681"/>
    <tableColumn id="8" name="7" totalsRowFunction="count" dataDxfId="680" totalsRowDxfId="679"/>
    <tableColumn id="9" name="8" totalsRowFunction="count" dataDxfId="678" totalsRowDxfId="677"/>
    <tableColumn id="10" name="9" totalsRowFunction="count" dataDxfId="676" totalsRowDxfId="675"/>
    <tableColumn id="11" name="10" totalsRowFunction="count" dataDxfId="674" totalsRowDxfId="673"/>
    <tableColumn id="12" name="11" totalsRowFunction="count" dataDxfId="672" totalsRowDxfId="671"/>
    <tableColumn id="13" name="12" totalsRowFunction="count" dataDxfId="670" totalsRowDxfId="669"/>
    <tableColumn id="14" name="13" totalsRowFunction="count" dataDxfId="668" totalsRowDxfId="667"/>
    <tableColumn id="15" name="14" totalsRowFunction="count" dataDxfId="666" totalsRowDxfId="665"/>
    <tableColumn id="16" name="15" totalsRowFunction="count" dataDxfId="664" totalsRowDxfId="663"/>
    <tableColumn id="17" name="16" totalsRowFunction="count" dataDxfId="662" totalsRowDxfId="661"/>
    <tableColumn id="18" name="17" totalsRowFunction="count" dataDxfId="660" totalsRowDxfId="659"/>
    <tableColumn id="19" name="18" totalsRowFunction="count" dataDxfId="658" totalsRowDxfId="657"/>
    <tableColumn id="20" name="19" totalsRowFunction="count" dataDxfId="656" totalsRowDxfId="655"/>
    <tableColumn id="21" name="20" totalsRowFunction="count" dataDxfId="654" totalsRowDxfId="653"/>
    <tableColumn id="22" name="21" totalsRowFunction="count" dataDxfId="652" totalsRowDxfId="651"/>
    <tableColumn id="23" name="22" totalsRowFunction="count" dataDxfId="650" totalsRowDxfId="649"/>
    <tableColumn id="24" name="23" totalsRowFunction="count" dataDxfId="648" totalsRowDxfId="647"/>
    <tableColumn id="25" name="24" totalsRowFunction="count" dataDxfId="646" totalsRowDxfId="645"/>
    <tableColumn id="26" name="25" totalsRowFunction="count" dataDxfId="644" totalsRowDxfId="643"/>
    <tableColumn id="27" name="26" totalsRowFunction="count" dataDxfId="642" totalsRowDxfId="641"/>
    <tableColumn id="28" name="27" totalsRowFunction="count" dataDxfId="640" totalsRowDxfId="639"/>
    <tableColumn id="29" name="28" totalsRowFunction="count" dataDxfId="638" totalsRowDxfId="637"/>
    <tableColumn id="30" name="29" totalsRowFunction="count" dataDxfId="636" totalsRowDxfId="635"/>
    <tableColumn id="31" name="30" dataDxfId="634" totalsRowDxfId="633"/>
    <tableColumn id="32" name="31" dataDxfId="632" totalsRowDxfId="631"/>
    <tableColumn id="33" name="Total Days" totalsRowFunction="sum" totalsRowDxfId="630">
      <calculatedColumnFormula>COUNTA(tblMarch[[#This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March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3.xml><?xml version="1.0" encoding="utf-8"?>
<table xmlns="http://schemas.openxmlformats.org/spreadsheetml/2006/main" id="4" name="tblApril" displayName="tblApril" ref="A4:AG10" totalsRowCount="1">
  <tableColumns count="33">
    <tableColumn id="1" name="Employee Name" totalsRowFunction="custom" dataDxfId="624" totalsRowDxfId="623">
      <totalsRowFormula>MonthName&amp;" Total"</totalsRowFormula>
    </tableColumn>
    <tableColumn id="2" name="1" totalsRowFunction="count" dataDxfId="622" totalsRowDxfId="621"/>
    <tableColumn id="3" name="2" totalsRowFunction="count" dataDxfId="620" totalsRowDxfId="619"/>
    <tableColumn id="4" name="3" totalsRowFunction="count" dataDxfId="618" totalsRowDxfId="617"/>
    <tableColumn id="5" name="4" totalsRowFunction="count" dataDxfId="616" totalsRowDxfId="615"/>
    <tableColumn id="6" name="5" totalsRowFunction="count" dataDxfId="614" totalsRowDxfId="613"/>
    <tableColumn id="7" name="6" totalsRowFunction="count" dataDxfId="612" totalsRowDxfId="611"/>
    <tableColumn id="8" name="7" totalsRowFunction="count" dataDxfId="610" totalsRowDxfId="609"/>
    <tableColumn id="9" name="8" totalsRowFunction="count" dataDxfId="608" totalsRowDxfId="607"/>
    <tableColumn id="10" name="9" totalsRowFunction="count" dataDxfId="606" totalsRowDxfId="605"/>
    <tableColumn id="11" name="10" totalsRowFunction="count" dataDxfId="604" totalsRowDxfId="603"/>
    <tableColumn id="12" name="11" totalsRowFunction="count" dataDxfId="602" totalsRowDxfId="601"/>
    <tableColumn id="13" name="12" totalsRowFunction="count" dataDxfId="600" totalsRowDxfId="599"/>
    <tableColumn id="14" name="13" totalsRowFunction="count" dataDxfId="598" totalsRowDxfId="597"/>
    <tableColumn id="15" name="14" totalsRowFunction="count" dataDxfId="596" totalsRowDxfId="595"/>
    <tableColumn id="16" name="15" totalsRowFunction="count" dataDxfId="594" totalsRowDxfId="593"/>
    <tableColumn id="17" name="16" totalsRowFunction="count" dataDxfId="592" totalsRowDxfId="591"/>
    <tableColumn id="18" name="17" totalsRowFunction="count" dataDxfId="590" totalsRowDxfId="589"/>
    <tableColumn id="19" name="18" totalsRowFunction="count" dataDxfId="588" totalsRowDxfId="587"/>
    <tableColumn id="20" name="19" totalsRowFunction="count" dataDxfId="586" totalsRowDxfId="585"/>
    <tableColumn id="21" name="20" totalsRowFunction="count" dataDxfId="584" totalsRowDxfId="583"/>
    <tableColumn id="22" name="21" totalsRowFunction="count" dataDxfId="582" totalsRowDxfId="581"/>
    <tableColumn id="23" name="22" totalsRowFunction="count" dataDxfId="580" totalsRowDxfId="579"/>
    <tableColumn id="24" name="23" totalsRowFunction="count" dataDxfId="578" totalsRowDxfId="577"/>
    <tableColumn id="25" name="24" totalsRowFunction="count" dataDxfId="576" totalsRowDxfId="575"/>
    <tableColumn id="26" name="25" totalsRowFunction="count" dataDxfId="574" totalsRowDxfId="573"/>
    <tableColumn id="27" name="26" totalsRowFunction="count" dataDxfId="572" totalsRowDxfId="571"/>
    <tableColumn id="28" name="27" totalsRowFunction="count" dataDxfId="570" totalsRowDxfId="569"/>
    <tableColumn id="29" name="28" totalsRowFunction="count" dataDxfId="568" totalsRowDxfId="567"/>
    <tableColumn id="30" name="29" totalsRowFunction="count" dataDxfId="566" totalsRowDxfId="565"/>
    <tableColumn id="31" name="30" dataDxfId="564" totalsRowDxfId="563"/>
    <tableColumn id="32" name=" " dataDxfId="562" totalsRowDxfId="561"/>
    <tableColumn id="33" name="Total Days" totalsRowFunction="sum" totalsRowDxfId="560">
      <calculatedColumnFormula>COUNTA(tblApril[[#This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April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4.xml><?xml version="1.0" encoding="utf-8"?>
<table xmlns="http://schemas.openxmlformats.org/spreadsheetml/2006/main" id="5" name="tblMay" displayName="tblMay" ref="A4:AG10" totalsRowCount="1">
  <tableColumns count="33">
    <tableColumn id="1" name="Employee Name" totalsRowFunction="custom" dataDxfId="554" totalsRowDxfId="553">
      <totalsRowFormula>MonthName&amp;" Total"</totalsRowFormula>
    </tableColumn>
    <tableColumn id="2" name="1" totalsRowFunction="count" dataDxfId="552" totalsRowDxfId="551"/>
    <tableColumn id="3" name="2" totalsRowFunction="count" dataDxfId="550" totalsRowDxfId="549"/>
    <tableColumn id="4" name="3" totalsRowFunction="count" dataDxfId="548" totalsRowDxfId="547"/>
    <tableColumn id="5" name="4" totalsRowFunction="count" dataDxfId="546" totalsRowDxfId="545"/>
    <tableColumn id="6" name="5" totalsRowFunction="count" dataDxfId="544" totalsRowDxfId="543"/>
    <tableColumn id="7" name="6" totalsRowFunction="count" dataDxfId="542" totalsRowDxfId="541"/>
    <tableColumn id="8" name="7" totalsRowFunction="count" dataDxfId="540" totalsRowDxfId="539"/>
    <tableColumn id="9" name="8" totalsRowFunction="count" dataDxfId="538" totalsRowDxfId="537"/>
    <tableColumn id="10" name="9" totalsRowFunction="count" dataDxfId="536" totalsRowDxfId="535"/>
    <tableColumn id="11" name="10" totalsRowFunction="count" dataDxfId="534" totalsRowDxfId="533"/>
    <tableColumn id="12" name="11" totalsRowFunction="count" dataDxfId="532" totalsRowDxfId="531"/>
    <tableColumn id="13" name="12" totalsRowFunction="count" dataDxfId="530" totalsRowDxfId="529"/>
    <tableColumn id="14" name="13" totalsRowFunction="count" dataDxfId="528" totalsRowDxfId="527"/>
    <tableColumn id="15" name="14" totalsRowFunction="count" dataDxfId="526" totalsRowDxfId="525"/>
    <tableColumn id="16" name="15" totalsRowFunction="count" dataDxfId="524" totalsRowDxfId="523"/>
    <tableColumn id="17" name="16" totalsRowFunction="count" dataDxfId="522" totalsRowDxfId="521"/>
    <tableColumn id="18" name="17" totalsRowFunction="count" dataDxfId="520" totalsRowDxfId="519"/>
    <tableColumn id="19" name="18" totalsRowFunction="count" dataDxfId="518" totalsRowDxfId="517"/>
    <tableColumn id="20" name="19" totalsRowFunction="count" dataDxfId="516" totalsRowDxfId="515"/>
    <tableColumn id="21" name="20" totalsRowFunction="count" dataDxfId="514" totalsRowDxfId="513"/>
    <tableColumn id="22" name="21" totalsRowFunction="count" dataDxfId="512" totalsRowDxfId="511"/>
    <tableColumn id="23" name="22" totalsRowFunction="count" dataDxfId="510" totalsRowDxfId="509"/>
    <tableColumn id="24" name="23" totalsRowFunction="count" dataDxfId="508" totalsRowDxfId="507"/>
    <tableColumn id="25" name="24" totalsRowFunction="count" dataDxfId="506" totalsRowDxfId="505"/>
    <tableColumn id="26" name="25" totalsRowFunction="count" dataDxfId="504" totalsRowDxfId="503"/>
    <tableColumn id="27" name="26" totalsRowFunction="count" dataDxfId="502" totalsRowDxfId="501"/>
    <tableColumn id="28" name="27" totalsRowFunction="count" dataDxfId="500" totalsRowDxfId="499"/>
    <tableColumn id="29" name="28" totalsRowFunction="count" dataDxfId="498" totalsRowDxfId="497"/>
    <tableColumn id="30" name="29" totalsRowFunction="count" dataDxfId="496" totalsRowDxfId="495"/>
    <tableColumn id="31" name="30" dataDxfId="494" totalsRowDxfId="493"/>
    <tableColumn id="32" name="31" dataDxfId="492" totalsRowDxfId="491"/>
    <tableColumn id="33" name="Total Days" totalsRowFunction="sum" totalsRowDxfId="490">
      <calculatedColumnFormula>COUNTA(tblMay[[#This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May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5.xml><?xml version="1.0" encoding="utf-8"?>
<table xmlns="http://schemas.openxmlformats.org/spreadsheetml/2006/main" id="6" name="tblJune" displayName="tblJune" ref="A4:AG10" totalsRowCount="1">
  <tableColumns count="33">
    <tableColumn id="1" name="Employee Name" totalsRowFunction="custom" dataDxfId="484" totalsRowDxfId="483">
      <totalsRowFormula>MonthName&amp;" Total"</totalsRowFormula>
    </tableColumn>
    <tableColumn id="2" name="1" totalsRowFunction="count" dataDxfId="482" totalsRowDxfId="481"/>
    <tableColumn id="3" name="2" totalsRowFunction="count" dataDxfId="480" totalsRowDxfId="479"/>
    <tableColumn id="4" name="3" totalsRowFunction="count" dataDxfId="478" totalsRowDxfId="477"/>
    <tableColumn id="5" name="4" totalsRowFunction="count" dataDxfId="476" totalsRowDxfId="475"/>
    <tableColumn id="6" name="5" totalsRowFunction="count" dataDxfId="474" totalsRowDxfId="473"/>
    <tableColumn id="7" name="6" totalsRowFunction="count" dataDxfId="472" totalsRowDxfId="471"/>
    <tableColumn id="8" name="7" totalsRowFunction="count" dataDxfId="470" totalsRowDxfId="469"/>
    <tableColumn id="9" name="8" totalsRowFunction="count" dataDxfId="468" totalsRowDxfId="467"/>
    <tableColumn id="10" name="9" totalsRowFunction="count" dataDxfId="466" totalsRowDxfId="465"/>
    <tableColumn id="11" name="10" totalsRowFunction="count" dataDxfId="464" totalsRowDxfId="463"/>
    <tableColumn id="12" name="11" totalsRowFunction="count" dataDxfId="462" totalsRowDxfId="461"/>
    <tableColumn id="13" name="12" totalsRowFunction="count" dataDxfId="460" totalsRowDxfId="459"/>
    <tableColumn id="14" name="13" totalsRowFunction="count" dataDxfId="458" totalsRowDxfId="457"/>
    <tableColumn id="15" name="14" totalsRowFunction="count" dataDxfId="456" totalsRowDxfId="455"/>
    <tableColumn id="16" name="15" totalsRowFunction="count" dataDxfId="454" totalsRowDxfId="453"/>
    <tableColumn id="17" name="16" totalsRowFunction="count" dataDxfId="452" totalsRowDxfId="451"/>
    <tableColumn id="18" name="17" totalsRowFunction="count" dataDxfId="450" totalsRowDxfId="449"/>
    <tableColumn id="19" name="18" totalsRowFunction="count" dataDxfId="448" totalsRowDxfId="447"/>
    <tableColumn id="20" name="19" totalsRowFunction="count" dataDxfId="446" totalsRowDxfId="445"/>
    <tableColumn id="21" name="20" totalsRowFunction="count" dataDxfId="444" totalsRowDxfId="443"/>
    <tableColumn id="22" name="21" totalsRowFunction="count" dataDxfId="442" totalsRowDxfId="441"/>
    <tableColumn id="23" name="22" totalsRowFunction="count" dataDxfId="440" totalsRowDxfId="439"/>
    <tableColumn id="24" name="23" totalsRowFunction="count" dataDxfId="438" totalsRowDxfId="437"/>
    <tableColumn id="25" name="24" totalsRowFunction="count" dataDxfId="436" totalsRowDxfId="435"/>
    <tableColumn id="26" name="25" totalsRowFunction="count" dataDxfId="434" totalsRowDxfId="433"/>
    <tableColumn id="27" name="26" totalsRowFunction="count" dataDxfId="432" totalsRowDxfId="431"/>
    <tableColumn id="28" name="27" totalsRowFunction="count" dataDxfId="430" totalsRowDxfId="429"/>
    <tableColumn id="29" name="28" totalsRowFunction="count" dataDxfId="428" totalsRowDxfId="427"/>
    <tableColumn id="30" name="29" totalsRowFunction="count" dataDxfId="426" totalsRowDxfId="425"/>
    <tableColumn id="31" name="30" dataDxfId="424" totalsRowDxfId="423"/>
    <tableColumn id="32" name=" " dataDxfId="422" totalsRowDxfId="421"/>
    <tableColumn id="33" name="Total Days" totalsRowFunction="sum" totalsRowDxfId="420">
      <calculatedColumnFormula>COUNTA(tblJune[[#This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June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6.xml><?xml version="1.0" encoding="utf-8"?>
<table xmlns="http://schemas.openxmlformats.org/spreadsheetml/2006/main" id="7" name="tblJuly" displayName="tblJuly" ref="A4:AG10" totalsRowCount="1">
  <tableColumns count="33">
    <tableColumn id="1" name="Employee Name" totalsRowFunction="custom" dataDxfId="414" totalsRowDxfId="413">
      <totalsRowFormula>MonthName&amp;" Total"</totalsRowFormula>
    </tableColumn>
    <tableColumn id="2" name="1" totalsRowFunction="count" dataDxfId="412" totalsRowDxfId="411"/>
    <tableColumn id="3" name="2" totalsRowFunction="count" dataDxfId="410" totalsRowDxfId="409"/>
    <tableColumn id="4" name="3" totalsRowFunction="count" dataDxfId="408" totalsRowDxfId="407"/>
    <tableColumn id="5" name="4" totalsRowFunction="count" dataDxfId="406" totalsRowDxfId="405"/>
    <tableColumn id="6" name="5" totalsRowFunction="count" dataDxfId="404" totalsRowDxfId="403"/>
    <tableColumn id="7" name="6" totalsRowFunction="count" dataDxfId="402" totalsRowDxfId="401"/>
    <tableColumn id="8" name="7" totalsRowFunction="count" dataDxfId="400" totalsRowDxfId="399"/>
    <tableColumn id="9" name="8" totalsRowFunction="count" dataDxfId="398" totalsRowDxfId="397"/>
    <tableColumn id="10" name="9" totalsRowFunction="count" dataDxfId="396" totalsRowDxfId="395"/>
    <tableColumn id="11" name="10" totalsRowFunction="count" dataDxfId="394" totalsRowDxfId="393"/>
    <tableColumn id="12" name="11" totalsRowFunction="count" dataDxfId="392" totalsRowDxfId="391"/>
    <tableColumn id="13" name="12" totalsRowFunction="count" dataDxfId="390" totalsRowDxfId="389"/>
    <tableColumn id="14" name="13" totalsRowFunction="count" dataDxfId="388" totalsRowDxfId="387"/>
    <tableColumn id="15" name="14" totalsRowFunction="count" dataDxfId="386" totalsRowDxfId="385"/>
    <tableColumn id="16" name="15" totalsRowFunction="count" dataDxfId="384" totalsRowDxfId="383"/>
    <tableColumn id="17" name="16" totalsRowFunction="count" dataDxfId="382" totalsRowDxfId="381"/>
    <tableColumn id="18" name="17" totalsRowFunction="count" dataDxfId="380" totalsRowDxfId="379"/>
    <tableColumn id="19" name="18" totalsRowFunction="count" dataDxfId="378" totalsRowDxfId="377"/>
    <tableColumn id="20" name="19" totalsRowFunction="count" dataDxfId="376" totalsRowDxfId="375"/>
    <tableColumn id="21" name="20" totalsRowFunction="count" dataDxfId="374" totalsRowDxfId="373"/>
    <tableColumn id="22" name="21" totalsRowFunction="count" dataDxfId="372" totalsRowDxfId="371"/>
    <tableColumn id="23" name="22" totalsRowFunction="count" dataDxfId="370" totalsRowDxfId="369"/>
    <tableColumn id="24" name="23" totalsRowFunction="count" dataDxfId="368" totalsRowDxfId="367"/>
    <tableColumn id="25" name="24" totalsRowFunction="count" dataDxfId="366" totalsRowDxfId="365"/>
    <tableColumn id="26" name="25" totalsRowFunction="count" dataDxfId="364" totalsRowDxfId="363"/>
    <tableColumn id="27" name="26" totalsRowFunction="count" dataDxfId="362" totalsRowDxfId="361"/>
    <tableColumn id="28" name="27" totalsRowFunction="count" dataDxfId="360" totalsRowDxfId="359"/>
    <tableColumn id="29" name="28" totalsRowFunction="count" dataDxfId="358" totalsRowDxfId="357"/>
    <tableColumn id="30" name="29" totalsRowFunction="count" dataDxfId="356" totalsRowDxfId="355"/>
    <tableColumn id="31" name="30" dataDxfId="354" totalsRowDxfId="353"/>
    <tableColumn id="32" name="31" dataDxfId="352" totalsRowDxfId="351"/>
    <tableColumn id="33" name="Total Days" totalsRowFunction="sum" totalsRowDxfId="350">
      <calculatedColumnFormula>COUNTA(tblJuly[[#This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July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7.xml><?xml version="1.0" encoding="utf-8"?>
<table xmlns="http://schemas.openxmlformats.org/spreadsheetml/2006/main" id="8" name="tblAugust" displayName="tblAugust" ref="A4:AG10" totalsRowCount="1">
  <tableColumns count="33">
    <tableColumn id="1" name="Employee Name" totalsRowFunction="custom" dataDxfId="344" totalsRowDxfId="343">
      <totalsRowFormula>MonthName&amp;" Total"</totalsRowFormula>
    </tableColumn>
    <tableColumn id="2" name="1" totalsRowFunction="count" dataDxfId="342" totalsRowDxfId="341"/>
    <tableColumn id="3" name="2" totalsRowFunction="count" dataDxfId="340" totalsRowDxfId="339"/>
    <tableColumn id="4" name="3" totalsRowFunction="count" dataDxfId="338" totalsRowDxfId="337"/>
    <tableColumn id="5" name="4" totalsRowFunction="count" dataDxfId="336" totalsRowDxfId="335"/>
    <tableColumn id="6" name="5" totalsRowFunction="count" dataDxfId="334" totalsRowDxfId="333"/>
    <tableColumn id="7" name="6" totalsRowFunction="count" dataDxfId="332" totalsRowDxfId="331"/>
    <tableColumn id="8" name="7" totalsRowFunction="count" dataDxfId="330" totalsRowDxfId="329"/>
    <tableColumn id="9" name="8" totalsRowFunction="count" dataDxfId="328" totalsRowDxfId="327"/>
    <tableColumn id="10" name="9" totalsRowFunction="count" dataDxfId="326" totalsRowDxfId="325"/>
    <tableColumn id="11" name="10" totalsRowFunction="count" dataDxfId="324" totalsRowDxfId="323"/>
    <tableColumn id="12" name="11" totalsRowFunction="count" dataDxfId="322" totalsRowDxfId="321"/>
    <tableColumn id="13" name="12" totalsRowFunction="count" dataDxfId="320" totalsRowDxfId="319"/>
    <tableColumn id="14" name="13" totalsRowFunction="count" dataDxfId="318" totalsRowDxfId="317"/>
    <tableColumn id="15" name="14" totalsRowFunction="count" dataDxfId="316" totalsRowDxfId="315"/>
    <tableColumn id="16" name="15" totalsRowFunction="count" dataDxfId="314" totalsRowDxfId="313"/>
    <tableColumn id="17" name="16" totalsRowFunction="count" dataDxfId="312" totalsRowDxfId="311"/>
    <tableColumn id="18" name="17" totalsRowFunction="count" dataDxfId="310" totalsRowDxfId="309"/>
    <tableColumn id="19" name="18" totalsRowFunction="count" dataDxfId="308" totalsRowDxfId="307"/>
    <tableColumn id="20" name="19" totalsRowFunction="count" dataDxfId="306" totalsRowDxfId="305"/>
    <tableColumn id="21" name="20" totalsRowFunction="count" dataDxfId="304" totalsRowDxfId="303"/>
    <tableColumn id="22" name="21" totalsRowFunction="count" dataDxfId="302" totalsRowDxfId="301"/>
    <tableColumn id="23" name="22" totalsRowFunction="count" dataDxfId="300" totalsRowDxfId="299"/>
    <tableColumn id="24" name="23" totalsRowFunction="count" dataDxfId="298" totalsRowDxfId="297"/>
    <tableColumn id="25" name="24" totalsRowFunction="count" dataDxfId="296" totalsRowDxfId="295"/>
    <tableColumn id="26" name="25" totalsRowFunction="count" dataDxfId="294" totalsRowDxfId="293"/>
    <tableColumn id="27" name="26" totalsRowFunction="count" dataDxfId="292" totalsRowDxfId="291"/>
    <tableColumn id="28" name="27" totalsRowFunction="count" dataDxfId="290" totalsRowDxfId="289"/>
    <tableColumn id="29" name="28" totalsRowFunction="count" dataDxfId="288" totalsRowDxfId="287"/>
    <tableColumn id="30" name="29" totalsRowFunction="count" dataDxfId="286" totalsRowDxfId="285"/>
    <tableColumn id="31" name="30" dataDxfId="284" totalsRowDxfId="283"/>
    <tableColumn id="32" name="31" dataDxfId="282" totalsRowDxfId="281"/>
    <tableColumn id="33" name="Total Days" totalsRowFunction="sum" totalsRowDxfId="280">
      <calculatedColumnFormula>COUNTA(tblAugust[[#This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August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8.xml><?xml version="1.0" encoding="utf-8"?>
<table xmlns="http://schemas.openxmlformats.org/spreadsheetml/2006/main" id="9" name="tblSeptember" displayName="tblSeptember" ref="A4:AG10" totalsRowCount="1">
  <tableColumns count="33">
    <tableColumn id="1" name="Employee Name" totalsRowFunction="custom" dataDxfId="274" totalsRowDxfId="273">
      <totalsRowFormula>MonthName&amp;" Total"</totalsRowFormula>
    </tableColumn>
    <tableColumn id="2" name="1" totalsRowFunction="count" dataDxfId="272" totalsRowDxfId="271"/>
    <tableColumn id="3" name="2" totalsRowFunction="count" dataDxfId="270" totalsRowDxfId="269"/>
    <tableColumn id="4" name="3" totalsRowFunction="count" dataDxfId="268" totalsRowDxfId="267"/>
    <tableColumn id="5" name="4" totalsRowFunction="count" dataDxfId="266" totalsRowDxfId="265"/>
    <tableColumn id="6" name="5" totalsRowFunction="count" dataDxfId="264" totalsRowDxfId="263"/>
    <tableColumn id="7" name="6" totalsRowFunction="count" dataDxfId="262" totalsRowDxfId="261"/>
    <tableColumn id="8" name="7" totalsRowFunction="count" dataDxfId="260" totalsRowDxfId="259"/>
    <tableColumn id="9" name="8" totalsRowFunction="count" dataDxfId="258" totalsRowDxfId="257"/>
    <tableColumn id="10" name="9" totalsRowFunction="count" dataDxfId="256" totalsRowDxfId="255"/>
    <tableColumn id="11" name="10" totalsRowFunction="count" dataDxfId="254" totalsRowDxfId="253"/>
    <tableColumn id="12" name="11" totalsRowFunction="count" dataDxfId="252" totalsRowDxfId="251"/>
    <tableColumn id="13" name="12" totalsRowFunction="count" dataDxfId="250" totalsRowDxfId="249"/>
    <tableColumn id="14" name="13" totalsRowFunction="count" dataDxfId="248" totalsRowDxfId="247"/>
    <tableColumn id="15" name="14" totalsRowFunction="count" dataDxfId="246" totalsRowDxfId="245"/>
    <tableColumn id="16" name="15" totalsRowFunction="count" dataDxfId="244" totalsRowDxfId="243"/>
    <tableColumn id="17" name="16" totalsRowFunction="count" dataDxfId="242" totalsRowDxfId="241"/>
    <tableColumn id="18" name="17" totalsRowFunction="count" dataDxfId="240" totalsRowDxfId="239"/>
    <tableColumn id="19" name="18" totalsRowFunction="count" dataDxfId="238" totalsRowDxfId="237"/>
    <tableColumn id="20" name="19" totalsRowFunction="count" dataDxfId="236" totalsRowDxfId="235"/>
    <tableColumn id="21" name="20" totalsRowFunction="count" dataDxfId="234" totalsRowDxfId="233"/>
    <tableColumn id="22" name="21" totalsRowFunction="count" dataDxfId="232" totalsRowDxfId="231"/>
    <tableColumn id="23" name="22" totalsRowFunction="count" dataDxfId="230" totalsRowDxfId="229"/>
    <tableColumn id="24" name="23" totalsRowFunction="count" dataDxfId="228" totalsRowDxfId="227"/>
    <tableColumn id="25" name="24" totalsRowFunction="count" dataDxfId="226" totalsRowDxfId="225"/>
    <tableColumn id="26" name="25" totalsRowFunction="count" dataDxfId="224" totalsRowDxfId="223"/>
    <tableColumn id="27" name="26" totalsRowFunction="count" dataDxfId="222" totalsRowDxfId="221"/>
    <tableColumn id="28" name="27" totalsRowFunction="count" dataDxfId="220" totalsRowDxfId="219"/>
    <tableColumn id="29" name="28" totalsRowFunction="count" dataDxfId="218" totalsRowDxfId="217"/>
    <tableColumn id="30" name="29" totalsRowFunction="count" dataDxfId="216" totalsRowDxfId="215"/>
    <tableColumn id="31" name="30" dataDxfId="214" totalsRowDxfId="213"/>
    <tableColumn id="32" name=" " dataDxfId="212" totalsRowDxfId="211"/>
    <tableColumn id="33" name="Total Days" totalsRowFunction="sum" totalsRowDxfId="210">
      <calculatedColumnFormula>COUNTA(tblSeptember[[#This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September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9.xml><?xml version="1.0" encoding="utf-8"?>
<table xmlns="http://schemas.openxmlformats.org/spreadsheetml/2006/main" id="11" name="tblOctober" displayName="tblOctober" ref="A4:AG10" totalsRowCount="1">
  <tableColumns count="33">
    <tableColumn id="1" name="Employee Name" totalsRowFunction="custom" dataDxfId="204" totalsRowDxfId="203">
      <totalsRowFormula>MonthName&amp;" Total"</totalsRowFormula>
    </tableColumn>
    <tableColumn id="2" name="1" totalsRowFunction="count" dataDxfId="202" totalsRowDxfId="201"/>
    <tableColumn id="3" name="2" totalsRowFunction="count" dataDxfId="200" totalsRowDxfId="199"/>
    <tableColumn id="4" name="3" totalsRowFunction="count" dataDxfId="198" totalsRowDxfId="197"/>
    <tableColumn id="5" name="4" totalsRowFunction="count" dataDxfId="196" totalsRowDxfId="195"/>
    <tableColumn id="6" name="5" totalsRowFunction="count" dataDxfId="194" totalsRowDxfId="193"/>
    <tableColumn id="7" name="6" totalsRowFunction="count" dataDxfId="192" totalsRowDxfId="191"/>
    <tableColumn id="8" name="7" totalsRowFunction="count" dataDxfId="190" totalsRowDxfId="189"/>
    <tableColumn id="9" name="8" totalsRowFunction="count" dataDxfId="188" totalsRowDxfId="187"/>
    <tableColumn id="10" name="9" totalsRowFunction="count" dataDxfId="186" totalsRowDxfId="185"/>
    <tableColumn id="11" name="10" totalsRowFunction="count" dataDxfId="184" totalsRowDxfId="183"/>
    <tableColumn id="12" name="11" totalsRowFunction="count" dataDxfId="182" totalsRowDxfId="181"/>
    <tableColumn id="13" name="12" totalsRowFunction="count" dataDxfId="180" totalsRowDxfId="179"/>
    <tableColumn id="14" name="13" totalsRowFunction="count" dataDxfId="178" totalsRowDxfId="177"/>
    <tableColumn id="15" name="14" totalsRowFunction="count" dataDxfId="176" totalsRowDxfId="175"/>
    <tableColumn id="16" name="15" totalsRowFunction="count" dataDxfId="174" totalsRowDxfId="173"/>
    <tableColumn id="17" name="16" totalsRowFunction="count" dataDxfId="172" totalsRowDxfId="171"/>
    <tableColumn id="18" name="17" totalsRowFunction="count" dataDxfId="170" totalsRowDxfId="169"/>
    <tableColumn id="19" name="18" totalsRowFunction="count" dataDxfId="168" totalsRowDxfId="167"/>
    <tableColumn id="20" name="19" totalsRowFunction="count" dataDxfId="166" totalsRowDxfId="165"/>
    <tableColumn id="21" name="20" totalsRowFunction="count" dataDxfId="164" totalsRowDxfId="163"/>
    <tableColumn id="22" name="21" totalsRowFunction="count" dataDxfId="162" totalsRowDxfId="161"/>
    <tableColumn id="23" name="22" totalsRowFunction="count" dataDxfId="160" totalsRowDxfId="159"/>
    <tableColumn id="24" name="23" totalsRowFunction="count" dataDxfId="158" totalsRowDxfId="157"/>
    <tableColumn id="25" name="24" totalsRowFunction="count" dataDxfId="156" totalsRowDxfId="155"/>
    <tableColumn id="26" name="25" totalsRowFunction="count" dataDxfId="154" totalsRowDxfId="153"/>
    <tableColumn id="27" name="26" totalsRowFunction="count" dataDxfId="152" totalsRowDxfId="151"/>
    <tableColumn id="28" name="27" totalsRowFunction="count" dataDxfId="150" totalsRowDxfId="149"/>
    <tableColumn id="29" name="28" totalsRowFunction="count" dataDxfId="148" totalsRowDxfId="147"/>
    <tableColumn id="30" name="29" totalsRowFunction="count" dataDxfId="146" totalsRowDxfId="145"/>
    <tableColumn id="31" name="30" dataDxfId="144" totalsRowDxfId="143"/>
    <tableColumn id="32" name="31" dataDxfId="142" totalsRowDxfId="141"/>
    <tableColumn id="33" name="Total Days" totalsRowFunction="sum" totalsRowDxfId="140">
      <calculatedColumnFormula>COUNTA(tblOctober[[#This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October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heme/theme1.xml><?xml version="1.0" encoding="utf-8"?>
<a:theme xmlns:a="http://schemas.openxmlformats.org/drawingml/2006/main" name="Office Theme">
  <a:themeElements>
    <a:clrScheme name="Employee Absence Schedule">
      <a:dk1>
        <a:sysClr val="windowText" lastClr="000000"/>
      </a:dk1>
      <a:lt1>
        <a:sysClr val="window" lastClr="FFFFFF"/>
      </a:lt1>
      <a:dk2>
        <a:srgbClr val="4B180E"/>
      </a:dk2>
      <a:lt2>
        <a:srgbClr val="F1F2E8"/>
      </a:lt2>
      <a:accent1>
        <a:srgbClr val="A53423"/>
      </a:accent1>
      <a:accent2>
        <a:srgbClr val="E68130"/>
      </a:accent2>
      <a:accent3>
        <a:srgbClr val="9BB05D"/>
      </a:accent3>
      <a:accent4>
        <a:srgbClr val="CC9900"/>
      </a:accent4>
      <a:accent5>
        <a:srgbClr val="4F66AF"/>
      </a:accent5>
      <a:accent6>
        <a:srgbClr val="D0D2D3"/>
      </a:accent6>
      <a:hlink>
        <a:srgbClr val="4F66AF"/>
      </a:hlink>
      <a:folHlink>
        <a:srgbClr val="6B9AC6"/>
      </a:folHlink>
    </a:clrScheme>
    <a:fontScheme name="Employee Absence Schedul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AH12"/>
  <sheetViews>
    <sheetView showGridLines="0" tabSelected="1" zoomScaleNormal="100" workbookViewId="0"/>
  </sheetViews>
  <sheetFormatPr defaultRowHeight="15" customHeight="1" x14ac:dyDescent="0.25"/>
  <cols>
    <col min="1" max="1" width="24.28515625" style="11" customWidth="1"/>
    <col min="2" max="32" width="4" style="8" customWidth="1"/>
    <col min="33" max="33" width="13.5703125" style="7" customWidth="1"/>
    <col min="34" max="34" width="9.140625" style="8"/>
    <col min="35" max="16384" width="9.140625" style="9"/>
  </cols>
  <sheetData>
    <row r="1" spans="1:34" s="1" customFormat="1" ht="50.25" customHeight="1" x14ac:dyDescent="0.25">
      <c r="A1" s="20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3"/>
      <c r="AD1" s="13"/>
      <c r="AE1" s="14"/>
      <c r="AF1"/>
      <c r="AG1"/>
      <c r="AH1" s="2"/>
    </row>
    <row r="2" spans="1:34" ht="30" customHeight="1" x14ac:dyDescent="0.25">
      <c r="A2" s="34" t="s">
        <v>40</v>
      </c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5" t="e">
        <f>CalendarYear</f>
        <v>#REF!</v>
      </c>
    </row>
    <row r="3" spans="1:34" ht="15.75" customHeight="1" x14ac:dyDescent="0.25">
      <c r="A3" s="34"/>
      <c r="B3" s="21" t="e">
        <f>TEXT(WEEKDAY(DATE(CalendarYear,2,1),1),"aaa")</f>
        <v>#REF!</v>
      </c>
      <c r="C3" s="22" t="e">
        <f>TEXT(WEEKDAY(DATE(CalendarYear,2,2),1),"aaa")</f>
        <v>#REF!</v>
      </c>
      <c r="D3" s="22" t="e">
        <f>TEXT(WEEKDAY(DATE(CalendarYear,2,3),1),"aaa")</f>
        <v>#REF!</v>
      </c>
      <c r="E3" s="22" t="e">
        <f>TEXT(WEEKDAY(DATE(CalendarYear,2,4),1),"aaa")</f>
        <v>#REF!</v>
      </c>
      <c r="F3" s="22" t="e">
        <f>TEXT(WEEKDAY(DATE(CalendarYear,2,5),1),"aaa")</f>
        <v>#REF!</v>
      </c>
      <c r="G3" s="22" t="e">
        <f>TEXT(WEEKDAY(DATE(CalendarYear,2,6),1),"aaa")</f>
        <v>#REF!</v>
      </c>
      <c r="H3" s="22" t="e">
        <f>TEXT(WEEKDAY(DATE(CalendarYear,2,7),1),"aaa")</f>
        <v>#REF!</v>
      </c>
      <c r="I3" s="22" t="e">
        <f>TEXT(WEEKDAY(DATE(CalendarYear,2,8),1),"aaa")</f>
        <v>#REF!</v>
      </c>
      <c r="J3" s="22" t="e">
        <f>TEXT(WEEKDAY(DATE(CalendarYear,2,9),1),"aaa")</f>
        <v>#REF!</v>
      </c>
      <c r="K3" s="22" t="e">
        <f>TEXT(WEEKDAY(DATE(CalendarYear,2,10),1),"aaa")</f>
        <v>#REF!</v>
      </c>
      <c r="L3" s="22" t="e">
        <f>TEXT(WEEKDAY(DATE(CalendarYear,2,11),1),"aaa")</f>
        <v>#REF!</v>
      </c>
      <c r="M3" s="22" t="e">
        <f>TEXT(WEEKDAY(DATE(CalendarYear,2,12),1),"aaa")</f>
        <v>#REF!</v>
      </c>
      <c r="N3" s="22" t="e">
        <f>TEXT(WEEKDAY(DATE(CalendarYear,2,13),1),"aaa")</f>
        <v>#REF!</v>
      </c>
      <c r="O3" s="22" t="e">
        <f>TEXT(WEEKDAY(DATE(CalendarYear,2,14),1),"aaa")</f>
        <v>#REF!</v>
      </c>
      <c r="P3" s="22" t="e">
        <f>TEXT(WEEKDAY(DATE(CalendarYear,2,15),1),"aaa")</f>
        <v>#REF!</v>
      </c>
      <c r="Q3" s="22" t="e">
        <f>TEXT(WEEKDAY(DATE(CalendarYear,2,16),1),"aaa")</f>
        <v>#REF!</v>
      </c>
      <c r="R3" s="22" t="e">
        <f>TEXT(WEEKDAY(DATE(CalendarYear,2,17),1),"aaa")</f>
        <v>#REF!</v>
      </c>
      <c r="S3" s="22" t="e">
        <f>TEXT(WEEKDAY(DATE(CalendarYear,2,18),1),"aaa")</f>
        <v>#REF!</v>
      </c>
      <c r="T3" s="22" t="e">
        <f>TEXT(WEEKDAY(DATE(CalendarYear,2,19),1),"aaa")</f>
        <v>#REF!</v>
      </c>
      <c r="U3" s="22" t="e">
        <f>TEXT(WEEKDAY(DATE(CalendarYear,2,20),1),"aaa")</f>
        <v>#REF!</v>
      </c>
      <c r="V3" s="22" t="e">
        <f>TEXT(WEEKDAY(DATE(CalendarYear,2,21),1),"aaa")</f>
        <v>#REF!</v>
      </c>
      <c r="W3" s="22" t="e">
        <f>TEXT(WEEKDAY(DATE(CalendarYear,2,22),1),"aaa")</f>
        <v>#REF!</v>
      </c>
      <c r="X3" s="22" t="e">
        <f>TEXT(WEEKDAY(DATE(CalendarYear,2,23),1),"aaa")</f>
        <v>#REF!</v>
      </c>
      <c r="Y3" s="22" t="e">
        <f>TEXT(WEEKDAY(DATE(CalendarYear,2,24),1),"aaa")</f>
        <v>#REF!</v>
      </c>
      <c r="Z3" s="22" t="e">
        <f>TEXT(WEEKDAY(DATE(CalendarYear,2,25),1),"aaa")</f>
        <v>#REF!</v>
      </c>
      <c r="AA3" s="22" t="e">
        <f>TEXT(WEEKDAY(DATE(CalendarYear,2,26),1),"aaa")</f>
        <v>#REF!</v>
      </c>
      <c r="AB3" s="22" t="e">
        <f>TEXT(WEEKDAY(DATE(CalendarYear,2,27),1),"aaa")</f>
        <v>#REF!</v>
      </c>
      <c r="AC3" s="22" t="e">
        <f>TEXT(WEEKDAY(DATE(CalendarYear,2,28),1),"aaa")</f>
        <v>#REF!</v>
      </c>
      <c r="AD3" s="22" t="e">
        <f>TEXT(WEEKDAY(DATE(CalendarYear,2,29),1),"aaa")</f>
        <v>#REF!</v>
      </c>
      <c r="AE3" s="22"/>
      <c r="AF3" s="23"/>
      <c r="AG3" s="35"/>
    </row>
    <row r="4" spans="1:34" s="6" customFormat="1" x14ac:dyDescent="0.25">
      <c r="A4" s="3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  <c r="Y4" s="3" t="s">
        <v>26</v>
      </c>
      <c r="Z4" s="3" t="s">
        <v>27</v>
      </c>
      <c r="AA4" s="3" t="s">
        <v>28</v>
      </c>
      <c r="AB4" s="3" t="s">
        <v>29</v>
      </c>
      <c r="AC4" s="3" t="s">
        <v>30</v>
      </c>
      <c r="AD4" s="10" t="s">
        <v>31</v>
      </c>
      <c r="AE4" s="3" t="s">
        <v>37</v>
      </c>
      <c r="AF4" s="3" t="s">
        <v>38</v>
      </c>
      <c r="AG4" s="3" t="s">
        <v>34</v>
      </c>
      <c r="AH4" s="5"/>
    </row>
    <row r="5" spans="1:34" s="6" customFormat="1" x14ac:dyDescent="0.25">
      <c r="A5" s="30" t="s">
        <v>51</v>
      </c>
      <c r="B5" s="3"/>
      <c r="C5" s="3"/>
      <c r="D5" s="3" t="s">
        <v>36</v>
      </c>
      <c r="E5" s="3" t="s">
        <v>36</v>
      </c>
      <c r="F5" s="3" t="s">
        <v>36</v>
      </c>
      <c r="G5" s="3" t="s">
        <v>36</v>
      </c>
      <c r="H5" s="3"/>
      <c r="I5" s="3"/>
      <c r="J5" s="3"/>
      <c r="K5" s="3"/>
      <c r="L5" s="3"/>
      <c r="M5" s="3"/>
      <c r="N5" s="3" t="s">
        <v>36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4">
        <f>COUNTA(tblFebruary[[#This Row],[1]:[29]])</f>
        <v>5</v>
      </c>
      <c r="AH5" s="5"/>
    </row>
    <row r="6" spans="1:34" s="6" customFormat="1" x14ac:dyDescent="0.25">
      <c r="A6" s="30" t="s">
        <v>52</v>
      </c>
      <c r="B6" s="3"/>
      <c r="C6" s="3"/>
      <c r="D6" s="3"/>
      <c r="E6" s="3"/>
      <c r="F6" s="3" t="s">
        <v>35</v>
      </c>
      <c r="G6" s="3" t="s">
        <v>35</v>
      </c>
      <c r="H6" s="3"/>
      <c r="I6" s="3"/>
      <c r="J6" s="3"/>
      <c r="K6" s="3"/>
      <c r="L6" s="3" t="s">
        <v>39</v>
      </c>
      <c r="M6" s="3"/>
      <c r="N6" s="3"/>
      <c r="O6" s="3"/>
      <c r="P6" s="3"/>
      <c r="Q6" s="3"/>
      <c r="R6" s="3"/>
      <c r="S6" s="3"/>
      <c r="T6" s="3"/>
      <c r="U6" s="3" t="s">
        <v>35</v>
      </c>
      <c r="V6" s="3"/>
      <c r="W6" s="3"/>
      <c r="X6" s="3"/>
      <c r="Y6" s="3"/>
      <c r="Z6" s="3" t="s">
        <v>36</v>
      </c>
      <c r="AA6" s="3" t="s">
        <v>36</v>
      </c>
      <c r="AB6" s="3" t="s">
        <v>36</v>
      </c>
      <c r="AC6" s="3"/>
      <c r="AD6" s="3"/>
      <c r="AE6" s="3"/>
      <c r="AF6" s="3"/>
      <c r="AG6" s="4">
        <f>COUNTA(tblFebruary[[#This Row],[1]:[29]])</f>
        <v>7</v>
      </c>
      <c r="AH6" s="5"/>
    </row>
    <row r="7" spans="1:34" ht="15" customHeight="1" x14ac:dyDescent="0.25">
      <c r="A7" s="30" t="s">
        <v>53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4">
        <f>COUNTA(tblFebruary[[#This Row],[1]:[29]])</f>
        <v>0</v>
      </c>
    </row>
    <row r="8" spans="1:34" ht="15" customHeight="1" x14ac:dyDescent="0.25">
      <c r="A8" s="30" t="s">
        <v>54</v>
      </c>
      <c r="B8" s="3"/>
      <c r="C8" s="3"/>
      <c r="D8" s="3" t="s">
        <v>35</v>
      </c>
      <c r="E8" s="3"/>
      <c r="F8" s="3"/>
      <c r="G8" s="3"/>
      <c r="H8" s="3"/>
      <c r="I8" s="3"/>
      <c r="J8" s="3"/>
      <c r="K8" s="3"/>
      <c r="L8" s="3"/>
      <c r="M8" s="3"/>
      <c r="N8" s="3"/>
      <c r="O8" s="3" t="s">
        <v>35</v>
      </c>
      <c r="P8" s="3"/>
      <c r="Q8" s="3"/>
      <c r="R8" s="3"/>
      <c r="S8" s="3" t="s">
        <v>39</v>
      </c>
      <c r="T8" s="3"/>
      <c r="U8" s="3"/>
      <c r="V8" s="3"/>
      <c r="W8" s="3"/>
      <c r="X8" s="3"/>
      <c r="Y8" s="3"/>
      <c r="Z8" s="3"/>
      <c r="AA8" s="3"/>
      <c r="AB8" s="3"/>
      <c r="AC8" s="3" t="s">
        <v>35</v>
      </c>
      <c r="AD8" s="3"/>
      <c r="AE8" s="3"/>
      <c r="AF8" s="3"/>
      <c r="AG8" s="4">
        <f>COUNTA(tblFebruary[[#This Row],[1]:[29]])</f>
        <v>4</v>
      </c>
    </row>
    <row r="9" spans="1:34" s="8" customFormat="1" ht="15" customHeight="1" x14ac:dyDescent="0.25">
      <c r="A9" s="30" t="s">
        <v>55</v>
      </c>
      <c r="B9" s="3"/>
      <c r="C9" s="3"/>
      <c r="D9" s="3"/>
      <c r="E9" s="3"/>
      <c r="F9" s="3"/>
      <c r="G9" s="3"/>
      <c r="H9" s="3"/>
      <c r="I9" s="3" t="s">
        <v>36</v>
      </c>
      <c r="J9" s="3" t="s">
        <v>36</v>
      </c>
      <c r="K9" s="3" t="s">
        <v>36</v>
      </c>
      <c r="L9" s="3" t="s">
        <v>36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 t="s">
        <v>35</v>
      </c>
      <c r="Z9" s="3"/>
      <c r="AA9" s="3"/>
      <c r="AB9" s="3"/>
      <c r="AC9" s="3"/>
      <c r="AD9" s="3"/>
      <c r="AE9" s="3"/>
      <c r="AF9" s="3"/>
      <c r="AG9" s="4">
        <f>COUNTA(tblFebruary[[#This Row],[1]:[29]])</f>
        <v>5</v>
      </c>
    </row>
    <row r="10" spans="1:34" ht="15" customHeight="1" x14ac:dyDescent="0.25">
      <c r="A10" s="24" t="str">
        <f>MonthName&amp;" Total"</f>
        <v>February Total</v>
      </c>
      <c r="B10" s="4">
        <f>SUBTOTAL(103,tblFebruary[1])</f>
        <v>0</v>
      </c>
      <c r="C10" s="4">
        <f>SUBTOTAL(103,tblFebruary[2])</f>
        <v>0</v>
      </c>
      <c r="D10" s="4">
        <f>SUBTOTAL(103,tblFebruary[3])</f>
        <v>2</v>
      </c>
      <c r="E10" s="4">
        <f>SUBTOTAL(103,tblFebruary[4])</f>
        <v>1</v>
      </c>
      <c r="F10" s="4">
        <f>SUBTOTAL(103,tblFebruary[5])</f>
        <v>2</v>
      </c>
      <c r="G10" s="4">
        <f>SUBTOTAL(103,tblFebruary[6])</f>
        <v>2</v>
      </c>
      <c r="H10" s="4">
        <f>SUBTOTAL(103,tblFebruary[7])</f>
        <v>0</v>
      </c>
      <c r="I10" s="4">
        <f>SUBTOTAL(103,tblFebruary[8])</f>
        <v>1</v>
      </c>
      <c r="J10" s="4">
        <f>SUBTOTAL(103,tblFebruary[9])</f>
        <v>1</v>
      </c>
      <c r="K10" s="4">
        <f>SUBTOTAL(103,tblFebruary[10])</f>
        <v>1</v>
      </c>
      <c r="L10" s="4">
        <f>SUBTOTAL(103,tblFebruary[11])</f>
        <v>2</v>
      </c>
      <c r="M10" s="4">
        <f>SUBTOTAL(103,tblFebruary[12])</f>
        <v>0</v>
      </c>
      <c r="N10" s="4">
        <f>SUBTOTAL(103,tblFebruary[13])</f>
        <v>1</v>
      </c>
      <c r="O10" s="4">
        <f>SUBTOTAL(103,tblFebruary[14])</f>
        <v>1</v>
      </c>
      <c r="P10" s="4">
        <f>SUBTOTAL(103,tblFebruary[15])</f>
        <v>0</v>
      </c>
      <c r="Q10" s="4">
        <f>SUBTOTAL(103,tblFebruary[16])</f>
        <v>0</v>
      </c>
      <c r="R10" s="4">
        <f>SUBTOTAL(103,tblFebruary[17])</f>
        <v>0</v>
      </c>
      <c r="S10" s="4">
        <f>SUBTOTAL(103,tblFebruary[18])</f>
        <v>1</v>
      </c>
      <c r="T10" s="4">
        <f>SUBTOTAL(103,tblFebruary[19])</f>
        <v>0</v>
      </c>
      <c r="U10" s="4">
        <f>SUBTOTAL(103,tblFebruary[20])</f>
        <v>1</v>
      </c>
      <c r="V10" s="4">
        <f>SUBTOTAL(103,tblFebruary[21])</f>
        <v>0</v>
      </c>
      <c r="W10" s="4">
        <f>SUBTOTAL(103,tblFebruary[22])</f>
        <v>0</v>
      </c>
      <c r="X10" s="4">
        <f>SUBTOTAL(103,tblFebruary[23])</f>
        <v>0</v>
      </c>
      <c r="Y10" s="4">
        <f>SUBTOTAL(103,tblFebruary[24])</f>
        <v>1</v>
      </c>
      <c r="Z10" s="4">
        <f>SUBTOTAL(103,tblFebruary[25])</f>
        <v>1</v>
      </c>
      <c r="AA10" s="4">
        <f>SUBTOTAL(103,tblFebruary[26])</f>
        <v>1</v>
      </c>
      <c r="AB10" s="4">
        <f>SUBTOTAL(103,tblFebruary[27])</f>
        <v>1</v>
      </c>
      <c r="AC10" s="4">
        <f>SUBTOTAL(103,tblFebruary[28])</f>
        <v>1</v>
      </c>
      <c r="AD10" s="4">
        <f>SUBTOTAL(103,tblFebruary[29])</f>
        <v>0</v>
      </c>
      <c r="AE10" s="4"/>
      <c r="AF10" s="4"/>
      <c r="AG10" s="4">
        <f>SUBTOTAL(109,tblFebruary[Total Days])</f>
        <v>21</v>
      </c>
    </row>
    <row r="11" spans="1:34" ht="1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</row>
    <row r="12" spans="1:34" ht="15" customHeight="1" x14ac:dyDescent="0.25">
      <c r="A12"/>
      <c r="B12" s="28" t="e">
        <f>#REF!</f>
        <v>#REF!</v>
      </c>
      <c r="C12" s="28"/>
      <c r="D12" s="28"/>
      <c r="E12" s="28"/>
      <c r="F12" s="29"/>
      <c r="G12" s="19" t="e">
        <f>KeyVacation</f>
        <v>#REF!</v>
      </c>
      <c r="H12" s="25" t="e">
        <f>KeyVacationLabel</f>
        <v>#REF!</v>
      </c>
      <c r="I12" s="26"/>
      <c r="J12" s="26"/>
      <c r="K12" s="15" t="e">
        <f>KeyPersonal</f>
        <v>#REF!</v>
      </c>
      <c r="L12" s="25" t="e">
        <f>KeyPersonalLabel</f>
        <v>#REF!</v>
      </c>
      <c r="M12" s="26"/>
      <c r="N12" s="26"/>
      <c r="O12" s="16" t="e">
        <f>KeySick</f>
        <v>#REF!</v>
      </c>
      <c r="P12" s="25" t="e">
        <f>KeySickLabel</f>
        <v>#REF!</v>
      </c>
      <c r="Q12" s="26"/>
      <c r="R12" s="26"/>
      <c r="S12" s="17" t="e">
        <f>KeyCustom1</f>
        <v>#REF!</v>
      </c>
      <c r="T12" s="25" t="e">
        <f>KeyCustom1Label</f>
        <v>#REF!</v>
      </c>
      <c r="U12" s="27"/>
      <c r="V12" s="26"/>
      <c r="W12" s="18" t="e">
        <f>KeyCustom2</f>
        <v>#REF!</v>
      </c>
      <c r="X12" s="25" t="e">
        <f>KeyCustom2Label</f>
        <v>#REF!</v>
      </c>
      <c r="Y12" s="26"/>
      <c r="Z12" s="27"/>
    </row>
  </sheetData>
  <mergeCells count="4">
    <mergeCell ref="B2:AF2"/>
    <mergeCell ref="A11:AG11"/>
    <mergeCell ref="A2:A3"/>
    <mergeCell ref="AG2:AG3"/>
  </mergeCells>
  <conditionalFormatting sqref="AD4">
    <cfRule type="expression" dxfId="771" priority="14">
      <formula>MONTH(DATE(CalendarYear,2,29))&lt;&gt;2</formula>
    </cfRule>
  </conditionalFormatting>
  <conditionalFormatting sqref="AD3">
    <cfRule type="expression" dxfId="770" priority="13">
      <formula>MONTH(DATE(CalendarYear,2,29))&lt;&gt;2</formula>
    </cfRule>
  </conditionalFormatting>
  <conditionalFormatting sqref="B5:AF9">
    <cfRule type="expression" priority="1" stopIfTrue="1">
      <formula>B5=""</formula>
    </cfRule>
  </conditionalFormatting>
  <conditionalFormatting sqref="B5:AF9">
    <cfRule type="expression" dxfId="769" priority="2" stopIfTrue="1">
      <formula>B5=KeyCustom2</formula>
    </cfRule>
    <cfRule type="expression" dxfId="768" priority="3" stopIfTrue="1">
      <formula>B5=KeyCustom1</formula>
    </cfRule>
    <cfRule type="expression" dxfId="767" priority="4" stopIfTrue="1">
      <formula>B5=KeySick</formula>
    </cfRule>
    <cfRule type="expression" dxfId="766" priority="5" stopIfTrue="1">
      <formula>B5=KeyPersonal</formula>
    </cfRule>
    <cfRule type="expression" dxfId="765" priority="6" stopIfTrue="1">
      <formula>B5=KeyVacation</formula>
    </cfRule>
  </conditionalFormatting>
  <conditionalFormatting sqref="AG5:AG9">
    <cfRule type="dataBar" priority="19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{94738C71-AB78-40C3-A818-D083AE35CC38}</x14:id>
        </ext>
      </extLst>
    </cfRule>
  </conditionalFormatting>
  <pageMargins left="0.25" right="0.25" top="0.75" bottom="0.75" header="0.3" footer="0.3"/>
  <pageSetup scale="80" fitToHeight="0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738C71-AB78-40C3-A818-D083AE35CC38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H12"/>
  <sheetViews>
    <sheetView showGridLines="0" zoomScaleNormal="100" workbookViewId="0"/>
  </sheetViews>
  <sheetFormatPr defaultRowHeight="15" customHeight="1" x14ac:dyDescent="0.25"/>
  <cols>
    <col min="1" max="1" width="24.28515625" style="11" customWidth="1"/>
    <col min="2" max="32" width="4" style="8" customWidth="1"/>
    <col min="33" max="33" width="13.5703125" style="7" customWidth="1"/>
    <col min="34" max="34" width="9.140625" style="8"/>
    <col min="35" max="16384" width="9.140625" style="9"/>
  </cols>
  <sheetData>
    <row r="1" spans="1:34" s="1" customFormat="1" ht="50.25" customHeight="1" x14ac:dyDescent="0.25">
      <c r="A1" s="20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3"/>
      <c r="AD1" s="13"/>
      <c r="AE1" s="14"/>
      <c r="AF1"/>
      <c r="AG1"/>
      <c r="AH1" s="2"/>
    </row>
    <row r="2" spans="1:34" ht="30" customHeight="1" x14ac:dyDescent="0.25">
      <c r="A2" s="34" t="s">
        <v>49</v>
      </c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5" t="e">
        <f>CalendarYear</f>
        <v>#REF!</v>
      </c>
    </row>
    <row r="3" spans="1:34" ht="15.75" customHeight="1" x14ac:dyDescent="0.25">
      <c r="A3" s="34"/>
      <c r="B3" s="21" t="e">
        <f>TEXT(WEEKDAY(DATE(CalendarYear,11,1),1),"aaa")</f>
        <v>#REF!</v>
      </c>
      <c r="C3" s="22" t="e">
        <f>TEXT(WEEKDAY(DATE(CalendarYear,11,2),1),"aaa")</f>
        <v>#REF!</v>
      </c>
      <c r="D3" s="22" t="e">
        <f>TEXT(WEEKDAY(DATE(CalendarYear,11,3),1),"aaa")</f>
        <v>#REF!</v>
      </c>
      <c r="E3" s="22" t="e">
        <f>TEXT(WEEKDAY(DATE(CalendarYear,11,4),1),"aaa")</f>
        <v>#REF!</v>
      </c>
      <c r="F3" s="22" t="e">
        <f>TEXT(WEEKDAY(DATE(CalendarYear,11,5),1),"aaa")</f>
        <v>#REF!</v>
      </c>
      <c r="G3" s="22" t="e">
        <f>TEXT(WEEKDAY(DATE(CalendarYear,11,6),1),"aaa")</f>
        <v>#REF!</v>
      </c>
      <c r="H3" s="22" t="e">
        <f>TEXT(WEEKDAY(DATE(CalendarYear,11,7),1),"aaa")</f>
        <v>#REF!</v>
      </c>
      <c r="I3" s="22" t="e">
        <f>TEXT(WEEKDAY(DATE(CalendarYear,11,8),1),"aaa")</f>
        <v>#REF!</v>
      </c>
      <c r="J3" s="22" t="e">
        <f>TEXT(WEEKDAY(DATE(CalendarYear,11,9),1),"aaa")</f>
        <v>#REF!</v>
      </c>
      <c r="K3" s="22" t="e">
        <f>TEXT(WEEKDAY(DATE(CalendarYear,11,10),1),"aaa")</f>
        <v>#REF!</v>
      </c>
      <c r="L3" s="22" t="e">
        <f>TEXT(WEEKDAY(DATE(CalendarYear,11,11),1),"aaa")</f>
        <v>#REF!</v>
      </c>
      <c r="M3" s="22" t="e">
        <f>TEXT(WEEKDAY(DATE(CalendarYear,11,12),1),"aaa")</f>
        <v>#REF!</v>
      </c>
      <c r="N3" s="22" t="e">
        <f>TEXT(WEEKDAY(DATE(CalendarYear,11,13),1),"aaa")</f>
        <v>#REF!</v>
      </c>
      <c r="O3" s="22" t="e">
        <f>TEXT(WEEKDAY(DATE(CalendarYear,11,14),1),"aaa")</f>
        <v>#REF!</v>
      </c>
      <c r="P3" s="22" t="e">
        <f>TEXT(WEEKDAY(DATE(CalendarYear,11,15),1),"aaa")</f>
        <v>#REF!</v>
      </c>
      <c r="Q3" s="22" t="e">
        <f>TEXT(WEEKDAY(DATE(CalendarYear,11,16),1),"aaa")</f>
        <v>#REF!</v>
      </c>
      <c r="R3" s="22" t="e">
        <f>TEXT(WEEKDAY(DATE(CalendarYear,11,17),1),"aaa")</f>
        <v>#REF!</v>
      </c>
      <c r="S3" s="22" t="e">
        <f>TEXT(WEEKDAY(DATE(CalendarYear,11,18),1),"aaa")</f>
        <v>#REF!</v>
      </c>
      <c r="T3" s="22" t="e">
        <f>TEXT(WEEKDAY(DATE(CalendarYear,11,19),1),"aaa")</f>
        <v>#REF!</v>
      </c>
      <c r="U3" s="22" t="e">
        <f>TEXT(WEEKDAY(DATE(CalendarYear,11,20),1),"aaa")</f>
        <v>#REF!</v>
      </c>
      <c r="V3" s="22" t="e">
        <f>TEXT(WEEKDAY(DATE(CalendarYear,11,21),1),"aaa")</f>
        <v>#REF!</v>
      </c>
      <c r="W3" s="22" t="e">
        <f>TEXT(WEEKDAY(DATE(CalendarYear,11,22),1),"aaa")</f>
        <v>#REF!</v>
      </c>
      <c r="X3" s="22" t="e">
        <f>TEXT(WEEKDAY(DATE(CalendarYear,11,23),1),"aaa")</f>
        <v>#REF!</v>
      </c>
      <c r="Y3" s="22" t="e">
        <f>TEXT(WEEKDAY(DATE(CalendarYear,11,24),1),"aaa")</f>
        <v>#REF!</v>
      </c>
      <c r="Z3" s="22" t="e">
        <f>TEXT(WEEKDAY(DATE(CalendarYear,11,25),1),"aaa")</f>
        <v>#REF!</v>
      </c>
      <c r="AA3" s="22" t="e">
        <f>TEXT(WEEKDAY(DATE(CalendarYear,11,26),1),"aaa")</f>
        <v>#REF!</v>
      </c>
      <c r="AB3" s="22" t="e">
        <f>TEXT(WEEKDAY(DATE(CalendarYear,11,27),1),"aaa")</f>
        <v>#REF!</v>
      </c>
      <c r="AC3" s="22" t="e">
        <f>TEXT(WEEKDAY(DATE(CalendarYear,11,28),1),"aaa")</f>
        <v>#REF!</v>
      </c>
      <c r="AD3" s="22" t="e">
        <f>TEXT(WEEKDAY(DATE(CalendarYear,11,29),1),"aaa")</f>
        <v>#REF!</v>
      </c>
      <c r="AE3" s="22" t="e">
        <f>TEXT(WEEKDAY(DATE(CalendarYear,11,30),1),"aaa")</f>
        <v>#REF!</v>
      </c>
      <c r="AF3" s="22"/>
      <c r="AG3" s="35"/>
    </row>
    <row r="4" spans="1:34" s="6" customFormat="1" x14ac:dyDescent="0.25">
      <c r="A4" s="32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1" t="s">
        <v>7</v>
      </c>
      <c r="G4" s="31" t="s">
        <v>8</v>
      </c>
      <c r="H4" s="31" t="s">
        <v>9</v>
      </c>
      <c r="I4" s="31" t="s">
        <v>10</v>
      </c>
      <c r="J4" s="31" t="s">
        <v>11</v>
      </c>
      <c r="K4" s="31" t="s">
        <v>12</v>
      </c>
      <c r="L4" s="31" t="s">
        <v>13</v>
      </c>
      <c r="M4" s="31" t="s">
        <v>14</v>
      </c>
      <c r="N4" s="31" t="s">
        <v>15</v>
      </c>
      <c r="O4" s="31" t="s">
        <v>16</v>
      </c>
      <c r="P4" s="31" t="s">
        <v>17</v>
      </c>
      <c r="Q4" s="31" t="s">
        <v>18</v>
      </c>
      <c r="R4" s="31" t="s">
        <v>19</v>
      </c>
      <c r="S4" s="31" t="s">
        <v>20</v>
      </c>
      <c r="T4" s="31" t="s">
        <v>21</v>
      </c>
      <c r="U4" s="31" t="s">
        <v>22</v>
      </c>
      <c r="V4" s="31" t="s">
        <v>23</v>
      </c>
      <c r="W4" s="31" t="s">
        <v>24</v>
      </c>
      <c r="X4" s="31" t="s">
        <v>25</v>
      </c>
      <c r="Y4" s="31" t="s">
        <v>26</v>
      </c>
      <c r="Z4" s="31" t="s">
        <v>27</v>
      </c>
      <c r="AA4" s="31" t="s">
        <v>28</v>
      </c>
      <c r="AB4" s="31" t="s">
        <v>29</v>
      </c>
      <c r="AC4" s="31" t="s">
        <v>30</v>
      </c>
      <c r="AD4" s="10" t="s">
        <v>31</v>
      </c>
      <c r="AE4" s="31" t="s">
        <v>32</v>
      </c>
      <c r="AF4" s="31" t="s">
        <v>37</v>
      </c>
      <c r="AG4" s="31" t="s">
        <v>34</v>
      </c>
      <c r="AH4" s="5"/>
    </row>
    <row r="5" spans="1:34" s="6" customFormat="1" x14ac:dyDescent="0.25">
      <c r="A5" s="30" t="s">
        <v>51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4">
        <f>COUNTA(tblNovember[[#This Row],[1]:[29]])</f>
        <v>0</v>
      </c>
      <c r="AH5" s="5"/>
    </row>
    <row r="6" spans="1:34" s="6" customFormat="1" x14ac:dyDescent="0.25">
      <c r="A6" s="30" t="s">
        <v>52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4">
        <f>COUNTA(tblNovember[[#This Row],[1]:[29]])</f>
        <v>0</v>
      </c>
      <c r="AH6" s="5"/>
    </row>
    <row r="7" spans="1:34" ht="15" customHeight="1" x14ac:dyDescent="0.25">
      <c r="A7" s="30" t="s">
        <v>53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4">
        <f>COUNTA(tblNovember[[#This Row],[1]:[29]])</f>
        <v>0</v>
      </c>
    </row>
    <row r="8" spans="1:34" ht="15" customHeight="1" x14ac:dyDescent="0.25">
      <c r="A8" s="30" t="s">
        <v>54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4">
        <f>COUNTA(tblNovember[[#This Row],[1]:[29]])</f>
        <v>0</v>
      </c>
    </row>
    <row r="9" spans="1:34" s="8" customFormat="1" ht="15" customHeight="1" x14ac:dyDescent="0.25">
      <c r="A9" s="30" t="s">
        <v>55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4">
        <f>COUNTA(tblNovember[[#This Row],[1]:[29]])</f>
        <v>0</v>
      </c>
    </row>
    <row r="10" spans="1:34" ht="15" customHeight="1" x14ac:dyDescent="0.25">
      <c r="A10" s="24" t="str">
        <f>MonthName&amp;" Total"</f>
        <v>November Total</v>
      </c>
      <c r="B10" s="4">
        <f>SUBTOTAL(103,tblNovember[1])</f>
        <v>0</v>
      </c>
      <c r="C10" s="4">
        <f>SUBTOTAL(103,tblNovember[2])</f>
        <v>0</v>
      </c>
      <c r="D10" s="4">
        <f>SUBTOTAL(103,tblNovember[3])</f>
        <v>0</v>
      </c>
      <c r="E10" s="4">
        <f>SUBTOTAL(103,tblNovember[4])</f>
        <v>0</v>
      </c>
      <c r="F10" s="4">
        <f>SUBTOTAL(103,tblNovember[5])</f>
        <v>0</v>
      </c>
      <c r="G10" s="4">
        <f>SUBTOTAL(103,tblNovember[6])</f>
        <v>0</v>
      </c>
      <c r="H10" s="4">
        <f>SUBTOTAL(103,tblNovember[7])</f>
        <v>0</v>
      </c>
      <c r="I10" s="4">
        <f>SUBTOTAL(103,tblNovember[8])</f>
        <v>0</v>
      </c>
      <c r="J10" s="4">
        <f>SUBTOTAL(103,tblNovember[9])</f>
        <v>0</v>
      </c>
      <c r="K10" s="4">
        <f>SUBTOTAL(103,tblNovember[10])</f>
        <v>0</v>
      </c>
      <c r="L10" s="4">
        <f>SUBTOTAL(103,tblNovember[11])</f>
        <v>0</v>
      </c>
      <c r="M10" s="4">
        <f>SUBTOTAL(103,tblNovember[12])</f>
        <v>0</v>
      </c>
      <c r="N10" s="4">
        <f>SUBTOTAL(103,tblNovember[13])</f>
        <v>0</v>
      </c>
      <c r="O10" s="4">
        <f>SUBTOTAL(103,tblNovember[14])</f>
        <v>0</v>
      </c>
      <c r="P10" s="4">
        <f>SUBTOTAL(103,tblNovember[15])</f>
        <v>0</v>
      </c>
      <c r="Q10" s="4">
        <f>SUBTOTAL(103,tblNovember[16])</f>
        <v>0</v>
      </c>
      <c r="R10" s="4">
        <f>SUBTOTAL(103,tblNovember[17])</f>
        <v>0</v>
      </c>
      <c r="S10" s="4">
        <f>SUBTOTAL(103,tblNovember[18])</f>
        <v>0</v>
      </c>
      <c r="T10" s="4">
        <f>SUBTOTAL(103,tblNovember[19])</f>
        <v>0</v>
      </c>
      <c r="U10" s="4">
        <f>SUBTOTAL(103,tblNovember[20])</f>
        <v>0</v>
      </c>
      <c r="V10" s="4">
        <f>SUBTOTAL(103,tblNovember[21])</f>
        <v>0</v>
      </c>
      <c r="W10" s="4">
        <f>SUBTOTAL(103,tblNovember[22])</f>
        <v>0</v>
      </c>
      <c r="X10" s="4">
        <f>SUBTOTAL(103,tblNovember[23])</f>
        <v>0</v>
      </c>
      <c r="Y10" s="4">
        <f>SUBTOTAL(103,tblNovember[24])</f>
        <v>0</v>
      </c>
      <c r="Z10" s="4">
        <f>SUBTOTAL(103,tblNovember[25])</f>
        <v>0</v>
      </c>
      <c r="AA10" s="4">
        <f>SUBTOTAL(103,tblNovember[26])</f>
        <v>0</v>
      </c>
      <c r="AB10" s="4">
        <f>SUBTOTAL(103,tblNovember[27])</f>
        <v>0</v>
      </c>
      <c r="AC10" s="4">
        <f>SUBTOTAL(103,tblNovember[28])</f>
        <v>0</v>
      </c>
      <c r="AD10" s="4">
        <f>SUBTOTAL(103,tblNovember[29])</f>
        <v>0</v>
      </c>
      <c r="AE10" s="4"/>
      <c r="AF10" s="4"/>
      <c r="AG10" s="4">
        <f>SUBTOTAL(109,tblNovember[Total Days])</f>
        <v>0</v>
      </c>
    </row>
    <row r="11" spans="1:34" ht="1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</row>
    <row r="12" spans="1:34" ht="15" customHeight="1" x14ac:dyDescent="0.25">
      <c r="A12"/>
      <c r="B12" s="28" t="e">
        <f>#REF!</f>
        <v>#REF!</v>
      </c>
      <c r="C12" s="28"/>
      <c r="D12" s="28"/>
      <c r="E12" s="28"/>
      <c r="F12" s="29"/>
      <c r="G12" s="19" t="e">
        <f>KeyVacation</f>
        <v>#REF!</v>
      </c>
      <c r="H12" s="25" t="e">
        <f>KeyVacationLabel</f>
        <v>#REF!</v>
      </c>
      <c r="I12" s="26"/>
      <c r="J12" s="26"/>
      <c r="K12" s="15" t="e">
        <f>KeyPersonal</f>
        <v>#REF!</v>
      </c>
      <c r="L12" s="25" t="e">
        <f>KeyPersonalLabel</f>
        <v>#REF!</v>
      </c>
      <c r="M12" s="26"/>
      <c r="N12" s="26"/>
      <c r="O12" s="16" t="e">
        <f>KeySick</f>
        <v>#REF!</v>
      </c>
      <c r="P12" s="25" t="e">
        <f>KeySickLabel</f>
        <v>#REF!</v>
      </c>
      <c r="Q12" s="26"/>
      <c r="R12" s="26"/>
      <c r="S12" s="17" t="e">
        <f>KeyCustom1</f>
        <v>#REF!</v>
      </c>
      <c r="T12" s="25" t="e">
        <f>KeyCustom1Label</f>
        <v>#REF!</v>
      </c>
      <c r="U12" s="27"/>
      <c r="V12" s="26"/>
      <c r="W12" s="18" t="e">
        <f>KeyCustom2</f>
        <v>#REF!</v>
      </c>
      <c r="X12" s="25" t="e">
        <f>KeyCustom2Label</f>
        <v>#REF!</v>
      </c>
      <c r="Y12" s="26"/>
      <c r="Z12" s="27"/>
    </row>
  </sheetData>
  <mergeCells count="4">
    <mergeCell ref="A2:A3"/>
    <mergeCell ref="B2:AF2"/>
    <mergeCell ref="AG2:AG3"/>
    <mergeCell ref="A11:AG11"/>
  </mergeCells>
  <conditionalFormatting sqref="B5:AF9">
    <cfRule type="expression" priority="1" stopIfTrue="1">
      <formula>B5=""</formula>
    </cfRule>
  </conditionalFormatting>
  <conditionalFormatting sqref="B5:AF9">
    <cfRule type="expression" dxfId="139" priority="2" stopIfTrue="1">
      <formula>B5=KeyCustom2</formula>
    </cfRule>
    <cfRule type="expression" dxfId="138" priority="3" stopIfTrue="1">
      <formula>B5=KeyCustom1</formula>
    </cfRule>
    <cfRule type="expression" dxfId="137" priority="4" stopIfTrue="1">
      <formula>B5=KeySick</formula>
    </cfRule>
    <cfRule type="expression" dxfId="136" priority="5" stopIfTrue="1">
      <formula>B5=KeyPersonal</formula>
    </cfRule>
    <cfRule type="expression" dxfId="135" priority="6" stopIfTrue="1">
      <formula>B5=KeyVacation</formula>
    </cfRule>
  </conditionalFormatting>
  <conditionalFormatting sqref="AG5:AG9">
    <cfRule type="dataBar" priority="29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{A15D8916-F091-4425-9705-45472C7168ED}</x14:id>
        </ext>
      </extLst>
    </cfRule>
  </conditionalFormatting>
  <pageMargins left="0.25" right="0.25" top="0.75" bottom="0.75" header="0.3" footer="0.3"/>
  <pageSetup scale="80" fitToHeight="0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15D8916-F091-4425-9705-45472C7168ED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AH12"/>
  <sheetViews>
    <sheetView showGridLines="0" zoomScaleNormal="100" workbookViewId="0"/>
  </sheetViews>
  <sheetFormatPr defaultRowHeight="15" customHeight="1" x14ac:dyDescent="0.25"/>
  <cols>
    <col min="1" max="1" width="24.28515625" style="11" customWidth="1"/>
    <col min="2" max="32" width="4" style="8" customWidth="1"/>
    <col min="33" max="33" width="13.5703125" style="7" customWidth="1"/>
    <col min="34" max="34" width="9.140625" style="8"/>
    <col min="35" max="16384" width="9.140625" style="9"/>
  </cols>
  <sheetData>
    <row r="1" spans="1:34" s="1" customFormat="1" ht="50.25" customHeight="1" x14ac:dyDescent="0.25">
      <c r="A1" s="20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3"/>
      <c r="AD1" s="13"/>
      <c r="AE1" s="14"/>
      <c r="AF1"/>
      <c r="AG1"/>
      <c r="AH1" s="2"/>
    </row>
    <row r="2" spans="1:34" ht="30" customHeight="1" x14ac:dyDescent="0.25">
      <c r="A2" s="34" t="s">
        <v>50</v>
      </c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5" t="e">
        <f>CalendarYear</f>
        <v>#REF!</v>
      </c>
    </row>
    <row r="3" spans="1:34" ht="15.75" customHeight="1" x14ac:dyDescent="0.25">
      <c r="A3" s="34"/>
      <c r="B3" s="21" t="e">
        <f>TEXT(WEEKDAY(DATE(CalendarYear,12,1),1),"aaa")</f>
        <v>#REF!</v>
      </c>
      <c r="C3" s="22" t="e">
        <f>TEXT(WEEKDAY(DATE(CalendarYear,12,2),1),"aaa")</f>
        <v>#REF!</v>
      </c>
      <c r="D3" s="22" t="e">
        <f>TEXT(WEEKDAY(DATE(CalendarYear,12,3),1),"aaa")</f>
        <v>#REF!</v>
      </c>
      <c r="E3" s="22" t="e">
        <f>TEXT(WEEKDAY(DATE(CalendarYear,12,4),1),"aaa")</f>
        <v>#REF!</v>
      </c>
      <c r="F3" s="22" t="e">
        <f>TEXT(WEEKDAY(DATE(CalendarYear,12,5),1),"aaa")</f>
        <v>#REF!</v>
      </c>
      <c r="G3" s="22" t="e">
        <f>TEXT(WEEKDAY(DATE(CalendarYear,12,6),1),"aaa")</f>
        <v>#REF!</v>
      </c>
      <c r="H3" s="22" t="e">
        <f>TEXT(WEEKDAY(DATE(CalendarYear,12,7),1),"aaa")</f>
        <v>#REF!</v>
      </c>
      <c r="I3" s="22" t="e">
        <f>TEXT(WEEKDAY(DATE(CalendarYear,12,8),1),"aaa")</f>
        <v>#REF!</v>
      </c>
      <c r="J3" s="22" t="e">
        <f>TEXT(WEEKDAY(DATE(CalendarYear,12,9),1),"aaa")</f>
        <v>#REF!</v>
      </c>
      <c r="K3" s="22" t="e">
        <f>TEXT(WEEKDAY(DATE(CalendarYear,12,10),1),"aaa")</f>
        <v>#REF!</v>
      </c>
      <c r="L3" s="22" t="e">
        <f>TEXT(WEEKDAY(DATE(CalendarYear,12,11),1),"aaa")</f>
        <v>#REF!</v>
      </c>
      <c r="M3" s="22" t="e">
        <f>TEXT(WEEKDAY(DATE(CalendarYear,12,12),1),"aaa")</f>
        <v>#REF!</v>
      </c>
      <c r="N3" s="22" t="e">
        <f>TEXT(WEEKDAY(DATE(CalendarYear,12,13),1),"aaa")</f>
        <v>#REF!</v>
      </c>
      <c r="O3" s="22" t="e">
        <f>TEXT(WEEKDAY(DATE(CalendarYear,12,14),1),"aaa")</f>
        <v>#REF!</v>
      </c>
      <c r="P3" s="22" t="e">
        <f>TEXT(WEEKDAY(DATE(CalendarYear,12,15),1),"aaa")</f>
        <v>#REF!</v>
      </c>
      <c r="Q3" s="22" t="e">
        <f>TEXT(WEEKDAY(DATE(CalendarYear,12,16),1),"aaa")</f>
        <v>#REF!</v>
      </c>
      <c r="R3" s="22" t="e">
        <f>TEXT(WEEKDAY(DATE(CalendarYear,12,17),1),"aaa")</f>
        <v>#REF!</v>
      </c>
      <c r="S3" s="22" t="e">
        <f>TEXT(WEEKDAY(DATE(CalendarYear,12,18),1),"aaa")</f>
        <v>#REF!</v>
      </c>
      <c r="T3" s="22" t="e">
        <f>TEXT(WEEKDAY(DATE(CalendarYear,12,19),1),"aaa")</f>
        <v>#REF!</v>
      </c>
      <c r="U3" s="22" t="e">
        <f>TEXT(WEEKDAY(DATE(CalendarYear,12,20),1),"aaa")</f>
        <v>#REF!</v>
      </c>
      <c r="V3" s="22" t="e">
        <f>TEXT(WEEKDAY(DATE(CalendarYear,12,21),1),"aaa")</f>
        <v>#REF!</v>
      </c>
      <c r="W3" s="22" t="e">
        <f>TEXT(WEEKDAY(DATE(CalendarYear,12,22),1),"aaa")</f>
        <v>#REF!</v>
      </c>
      <c r="X3" s="22" t="e">
        <f>TEXT(WEEKDAY(DATE(CalendarYear,12,23),1),"aaa")</f>
        <v>#REF!</v>
      </c>
      <c r="Y3" s="22" t="e">
        <f>TEXT(WEEKDAY(DATE(CalendarYear,12,24),1),"aaa")</f>
        <v>#REF!</v>
      </c>
      <c r="Z3" s="22" t="e">
        <f>TEXT(WEEKDAY(DATE(CalendarYear,12,25),1),"aaa")</f>
        <v>#REF!</v>
      </c>
      <c r="AA3" s="22" t="e">
        <f>TEXT(WEEKDAY(DATE(CalendarYear,12,26),1),"aaa")</f>
        <v>#REF!</v>
      </c>
      <c r="AB3" s="22" t="e">
        <f>TEXT(WEEKDAY(DATE(CalendarYear,12,27),1),"aaa")</f>
        <v>#REF!</v>
      </c>
      <c r="AC3" s="22" t="e">
        <f>TEXT(WEEKDAY(DATE(CalendarYear,12,28),1),"aaa")</f>
        <v>#REF!</v>
      </c>
      <c r="AD3" s="22" t="e">
        <f>TEXT(WEEKDAY(DATE(CalendarYear,12,29),1),"aaa")</f>
        <v>#REF!</v>
      </c>
      <c r="AE3" s="22" t="e">
        <f>TEXT(WEEKDAY(DATE(CalendarYear,12,30),1),"aaa")</f>
        <v>#REF!</v>
      </c>
      <c r="AF3" s="22" t="e">
        <f>TEXT(WEEKDAY(DATE(CalendarYear,12,31),1),"aaa")</f>
        <v>#REF!</v>
      </c>
      <c r="AG3" s="35"/>
    </row>
    <row r="4" spans="1:34" s="6" customFormat="1" x14ac:dyDescent="0.25">
      <c r="A4" s="32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1" t="s">
        <v>7</v>
      </c>
      <c r="G4" s="31" t="s">
        <v>8</v>
      </c>
      <c r="H4" s="31" t="s">
        <v>9</v>
      </c>
      <c r="I4" s="31" t="s">
        <v>10</v>
      </c>
      <c r="J4" s="31" t="s">
        <v>11</v>
      </c>
      <c r="K4" s="31" t="s">
        <v>12</v>
      </c>
      <c r="L4" s="31" t="s">
        <v>13</v>
      </c>
      <c r="M4" s="31" t="s">
        <v>14</v>
      </c>
      <c r="N4" s="31" t="s">
        <v>15</v>
      </c>
      <c r="O4" s="31" t="s">
        <v>16</v>
      </c>
      <c r="P4" s="31" t="s">
        <v>17</v>
      </c>
      <c r="Q4" s="31" t="s">
        <v>18</v>
      </c>
      <c r="R4" s="31" t="s">
        <v>19</v>
      </c>
      <c r="S4" s="31" t="s">
        <v>20</v>
      </c>
      <c r="T4" s="31" t="s">
        <v>21</v>
      </c>
      <c r="U4" s="31" t="s">
        <v>22</v>
      </c>
      <c r="V4" s="31" t="s">
        <v>23</v>
      </c>
      <c r="W4" s="31" t="s">
        <v>24</v>
      </c>
      <c r="X4" s="31" t="s">
        <v>25</v>
      </c>
      <c r="Y4" s="31" t="s">
        <v>26</v>
      </c>
      <c r="Z4" s="31" t="s">
        <v>27</v>
      </c>
      <c r="AA4" s="31" t="s">
        <v>28</v>
      </c>
      <c r="AB4" s="31" t="s">
        <v>29</v>
      </c>
      <c r="AC4" s="31" t="s">
        <v>30</v>
      </c>
      <c r="AD4" s="10" t="s">
        <v>31</v>
      </c>
      <c r="AE4" s="31" t="s">
        <v>32</v>
      </c>
      <c r="AF4" s="31" t="s">
        <v>33</v>
      </c>
      <c r="AG4" s="31" t="s">
        <v>34</v>
      </c>
      <c r="AH4" s="5"/>
    </row>
    <row r="5" spans="1:34" s="6" customFormat="1" x14ac:dyDescent="0.25">
      <c r="A5" s="30" t="s">
        <v>51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4">
        <f>COUNTA(tblDecember[[#This Row],[1]:[29]])</f>
        <v>0</v>
      </c>
      <c r="AH5" s="5"/>
    </row>
    <row r="6" spans="1:34" s="6" customFormat="1" x14ac:dyDescent="0.25">
      <c r="A6" s="30" t="s">
        <v>52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4">
        <f>COUNTA(tblDecember[[#This Row],[1]:[29]])</f>
        <v>0</v>
      </c>
      <c r="AH6" s="5"/>
    </row>
    <row r="7" spans="1:34" ht="15" customHeight="1" x14ac:dyDescent="0.25">
      <c r="A7" s="30" t="s">
        <v>53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4">
        <f>COUNTA(tblDecember[[#This Row],[1]:[29]])</f>
        <v>0</v>
      </c>
    </row>
    <row r="8" spans="1:34" ht="15" customHeight="1" x14ac:dyDescent="0.25">
      <c r="A8" s="30" t="s">
        <v>54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4">
        <f>COUNTA(tblDecember[[#This Row],[1]:[29]])</f>
        <v>0</v>
      </c>
    </row>
    <row r="9" spans="1:34" s="8" customFormat="1" ht="15" customHeight="1" x14ac:dyDescent="0.25">
      <c r="A9" s="30" t="s">
        <v>55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4">
        <f>COUNTA(tblDecember[[#This Row],[1]:[29]])</f>
        <v>0</v>
      </c>
    </row>
    <row r="10" spans="1:34" ht="15" customHeight="1" x14ac:dyDescent="0.25">
      <c r="A10" s="24" t="str">
        <f>MonthName&amp;" Total"</f>
        <v>December Total</v>
      </c>
      <c r="B10" s="4">
        <f>SUBTOTAL(103,tblDecember[1])</f>
        <v>0</v>
      </c>
      <c r="C10" s="4">
        <f>SUBTOTAL(103,tblDecember[2])</f>
        <v>0</v>
      </c>
      <c r="D10" s="4">
        <f>SUBTOTAL(103,tblDecember[3])</f>
        <v>0</v>
      </c>
      <c r="E10" s="4">
        <f>SUBTOTAL(103,tblDecember[4])</f>
        <v>0</v>
      </c>
      <c r="F10" s="4">
        <f>SUBTOTAL(103,tblDecember[5])</f>
        <v>0</v>
      </c>
      <c r="G10" s="4">
        <f>SUBTOTAL(103,tblDecember[6])</f>
        <v>0</v>
      </c>
      <c r="H10" s="4">
        <f>SUBTOTAL(103,tblDecember[7])</f>
        <v>0</v>
      </c>
      <c r="I10" s="4">
        <f>SUBTOTAL(103,tblDecember[8])</f>
        <v>0</v>
      </c>
      <c r="J10" s="4">
        <f>SUBTOTAL(103,tblDecember[9])</f>
        <v>0</v>
      </c>
      <c r="K10" s="4">
        <f>SUBTOTAL(103,tblDecember[10])</f>
        <v>0</v>
      </c>
      <c r="L10" s="4">
        <f>SUBTOTAL(103,tblDecember[11])</f>
        <v>0</v>
      </c>
      <c r="M10" s="4">
        <f>SUBTOTAL(103,tblDecember[12])</f>
        <v>0</v>
      </c>
      <c r="N10" s="4">
        <f>SUBTOTAL(103,tblDecember[13])</f>
        <v>0</v>
      </c>
      <c r="O10" s="4">
        <f>SUBTOTAL(103,tblDecember[14])</f>
        <v>0</v>
      </c>
      <c r="P10" s="4">
        <f>SUBTOTAL(103,tblDecember[15])</f>
        <v>0</v>
      </c>
      <c r="Q10" s="4">
        <f>SUBTOTAL(103,tblDecember[16])</f>
        <v>0</v>
      </c>
      <c r="R10" s="4">
        <f>SUBTOTAL(103,tblDecember[17])</f>
        <v>0</v>
      </c>
      <c r="S10" s="4">
        <f>SUBTOTAL(103,tblDecember[18])</f>
        <v>0</v>
      </c>
      <c r="T10" s="4">
        <f>SUBTOTAL(103,tblDecember[19])</f>
        <v>0</v>
      </c>
      <c r="U10" s="4">
        <f>SUBTOTAL(103,tblDecember[20])</f>
        <v>0</v>
      </c>
      <c r="V10" s="4">
        <f>SUBTOTAL(103,tblDecember[21])</f>
        <v>0</v>
      </c>
      <c r="W10" s="4">
        <f>SUBTOTAL(103,tblDecember[22])</f>
        <v>0</v>
      </c>
      <c r="X10" s="4">
        <f>SUBTOTAL(103,tblDecember[23])</f>
        <v>0</v>
      </c>
      <c r="Y10" s="4">
        <f>SUBTOTAL(103,tblDecember[24])</f>
        <v>0</v>
      </c>
      <c r="Z10" s="4">
        <f>SUBTOTAL(103,tblDecember[25])</f>
        <v>0</v>
      </c>
      <c r="AA10" s="4">
        <f>SUBTOTAL(103,tblDecember[26])</f>
        <v>0</v>
      </c>
      <c r="AB10" s="4">
        <f>SUBTOTAL(103,tblDecember[27])</f>
        <v>0</v>
      </c>
      <c r="AC10" s="4">
        <f>SUBTOTAL(103,tblDecember[28])</f>
        <v>0</v>
      </c>
      <c r="AD10" s="4">
        <f>SUBTOTAL(103,tblDecember[29])</f>
        <v>0</v>
      </c>
      <c r="AE10" s="4"/>
      <c r="AF10" s="4"/>
      <c r="AG10" s="4">
        <f>SUBTOTAL(109,tblDecember[Total Days])</f>
        <v>0</v>
      </c>
    </row>
    <row r="11" spans="1:34" ht="1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</row>
    <row r="12" spans="1:34" ht="15" customHeight="1" x14ac:dyDescent="0.25">
      <c r="A12"/>
      <c r="B12" s="28" t="e">
        <f>#REF!</f>
        <v>#REF!</v>
      </c>
      <c r="C12" s="28"/>
      <c r="D12" s="28"/>
      <c r="E12" s="28"/>
      <c r="F12" s="29"/>
      <c r="G12" s="19" t="e">
        <f>KeyVacation</f>
        <v>#REF!</v>
      </c>
      <c r="H12" s="25" t="e">
        <f>KeyVacationLabel</f>
        <v>#REF!</v>
      </c>
      <c r="I12" s="26"/>
      <c r="J12" s="26"/>
      <c r="K12" s="15" t="e">
        <f>KeyPersonal</f>
        <v>#REF!</v>
      </c>
      <c r="L12" s="25" t="e">
        <f>KeyPersonalLabel</f>
        <v>#REF!</v>
      </c>
      <c r="M12" s="26"/>
      <c r="N12" s="26"/>
      <c r="O12" s="16" t="e">
        <f>KeySick</f>
        <v>#REF!</v>
      </c>
      <c r="P12" s="25" t="e">
        <f>KeySickLabel</f>
        <v>#REF!</v>
      </c>
      <c r="Q12" s="26"/>
      <c r="R12" s="26"/>
      <c r="S12" s="17" t="e">
        <f>KeyCustom1</f>
        <v>#REF!</v>
      </c>
      <c r="T12" s="25" t="e">
        <f>KeyCustom1Label</f>
        <v>#REF!</v>
      </c>
      <c r="U12" s="27"/>
      <c r="V12" s="26"/>
      <c r="W12" s="18" t="e">
        <f>KeyCustom2</f>
        <v>#REF!</v>
      </c>
      <c r="X12" s="25" t="e">
        <f>KeyCustom2Label</f>
        <v>#REF!</v>
      </c>
      <c r="Y12" s="26"/>
      <c r="Z12" s="27"/>
    </row>
  </sheetData>
  <mergeCells count="4">
    <mergeCell ref="A2:A3"/>
    <mergeCell ref="B2:AF2"/>
    <mergeCell ref="AG2:AG3"/>
    <mergeCell ref="A11:AG11"/>
  </mergeCells>
  <conditionalFormatting sqref="B5:AF9">
    <cfRule type="expression" priority="1" stopIfTrue="1">
      <formula>B5=""</formula>
    </cfRule>
  </conditionalFormatting>
  <conditionalFormatting sqref="B5:AF9">
    <cfRule type="expression" dxfId="69" priority="2" stopIfTrue="1">
      <formula>B5=KeyCustom2</formula>
    </cfRule>
    <cfRule type="expression" dxfId="68" priority="3" stopIfTrue="1">
      <formula>B5=KeyCustom1</formula>
    </cfRule>
    <cfRule type="expression" dxfId="67" priority="4" stopIfTrue="1">
      <formula>B5=KeySick</formula>
    </cfRule>
    <cfRule type="expression" dxfId="66" priority="5" stopIfTrue="1">
      <formula>B5=KeyPersonal</formula>
    </cfRule>
    <cfRule type="expression" dxfId="65" priority="6" stopIfTrue="1">
      <formula>B5=KeyVacation</formula>
    </cfRule>
  </conditionalFormatting>
  <conditionalFormatting sqref="AG5:AG9">
    <cfRule type="dataBar" priority="30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{17586780-365B-4F4C-BBB4-F5991705D361}</x14:id>
        </ext>
      </extLst>
    </cfRule>
  </conditionalFormatting>
  <pageMargins left="0.25" right="0.25" top="0.75" bottom="0.75" header="0.3" footer="0.3"/>
  <pageSetup scale="80" fitToHeight="0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586780-365B-4F4C-BBB4-F5991705D3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AH12"/>
  <sheetViews>
    <sheetView showGridLines="0" zoomScaleNormal="100" workbookViewId="0"/>
  </sheetViews>
  <sheetFormatPr defaultRowHeight="15" customHeight="1" x14ac:dyDescent="0.25"/>
  <cols>
    <col min="1" max="1" width="24.28515625" style="11" customWidth="1"/>
    <col min="2" max="32" width="4" style="8" customWidth="1"/>
    <col min="33" max="33" width="13.5703125" style="7" customWidth="1"/>
    <col min="34" max="34" width="9.140625" style="8"/>
    <col min="35" max="16384" width="9.140625" style="9"/>
  </cols>
  <sheetData>
    <row r="1" spans="1:34" s="1" customFormat="1" ht="50.25" customHeight="1" x14ac:dyDescent="0.25">
      <c r="A1" s="20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3"/>
      <c r="AD1" s="13"/>
      <c r="AE1" s="14"/>
      <c r="AF1"/>
      <c r="AG1"/>
      <c r="AH1" s="2"/>
    </row>
    <row r="2" spans="1:34" ht="30" customHeight="1" x14ac:dyDescent="0.25">
      <c r="A2" s="34" t="s">
        <v>41</v>
      </c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5" t="e">
        <f>CalendarYear</f>
        <v>#REF!</v>
      </c>
    </row>
    <row r="3" spans="1:34" ht="15.75" customHeight="1" x14ac:dyDescent="0.25">
      <c r="A3" s="34"/>
      <c r="B3" s="21" t="e">
        <f>TEXT(WEEKDAY(DATE(CalendarYear,3,1),1),"aaa")</f>
        <v>#REF!</v>
      </c>
      <c r="C3" s="22" t="e">
        <f>TEXT(WEEKDAY(DATE(CalendarYear,3,2),1),"aaa")</f>
        <v>#REF!</v>
      </c>
      <c r="D3" s="22" t="e">
        <f>TEXT(WEEKDAY(DATE(CalendarYear,3,3),1),"aaa")</f>
        <v>#REF!</v>
      </c>
      <c r="E3" s="22" t="e">
        <f>TEXT(WEEKDAY(DATE(CalendarYear,3,4),1),"aaa")</f>
        <v>#REF!</v>
      </c>
      <c r="F3" s="22" t="e">
        <f>TEXT(WEEKDAY(DATE(CalendarYear,3,5),1),"aaa")</f>
        <v>#REF!</v>
      </c>
      <c r="G3" s="22" t="e">
        <f>TEXT(WEEKDAY(DATE(CalendarYear,3,6),1),"aaa")</f>
        <v>#REF!</v>
      </c>
      <c r="H3" s="22" t="e">
        <f>TEXT(WEEKDAY(DATE(CalendarYear,3,7),1),"aaa")</f>
        <v>#REF!</v>
      </c>
      <c r="I3" s="22" t="e">
        <f>TEXT(WEEKDAY(DATE(CalendarYear,3,8),1),"aaa")</f>
        <v>#REF!</v>
      </c>
      <c r="J3" s="22" t="e">
        <f>TEXT(WEEKDAY(DATE(CalendarYear,3,9),1),"aaa")</f>
        <v>#REF!</v>
      </c>
      <c r="K3" s="22" t="e">
        <f>TEXT(WEEKDAY(DATE(CalendarYear,3,10),1),"aaa")</f>
        <v>#REF!</v>
      </c>
      <c r="L3" s="22" t="e">
        <f>TEXT(WEEKDAY(DATE(CalendarYear,3,11),1),"aaa")</f>
        <v>#REF!</v>
      </c>
      <c r="M3" s="22" t="e">
        <f>TEXT(WEEKDAY(DATE(CalendarYear,3,12),1),"aaa")</f>
        <v>#REF!</v>
      </c>
      <c r="N3" s="22" t="e">
        <f>TEXT(WEEKDAY(DATE(CalendarYear,3,13),1),"aaa")</f>
        <v>#REF!</v>
      </c>
      <c r="O3" s="22" t="e">
        <f>TEXT(WEEKDAY(DATE(CalendarYear,3,14),1),"aaa")</f>
        <v>#REF!</v>
      </c>
      <c r="P3" s="22" t="e">
        <f>TEXT(WEEKDAY(DATE(CalendarYear,3,15),1),"aaa")</f>
        <v>#REF!</v>
      </c>
      <c r="Q3" s="22" t="e">
        <f>TEXT(WEEKDAY(DATE(CalendarYear,3,16),1),"aaa")</f>
        <v>#REF!</v>
      </c>
      <c r="R3" s="22" t="e">
        <f>TEXT(WEEKDAY(DATE(CalendarYear,3,17),1),"aaa")</f>
        <v>#REF!</v>
      </c>
      <c r="S3" s="22" t="e">
        <f>TEXT(WEEKDAY(DATE(CalendarYear,3,18),1),"aaa")</f>
        <v>#REF!</v>
      </c>
      <c r="T3" s="22" t="e">
        <f>TEXT(WEEKDAY(DATE(CalendarYear,3,19),1),"aaa")</f>
        <v>#REF!</v>
      </c>
      <c r="U3" s="22" t="e">
        <f>TEXT(WEEKDAY(DATE(CalendarYear,3,20),1),"aaa")</f>
        <v>#REF!</v>
      </c>
      <c r="V3" s="22" t="e">
        <f>TEXT(WEEKDAY(DATE(CalendarYear,3,21),1),"aaa")</f>
        <v>#REF!</v>
      </c>
      <c r="W3" s="22" t="e">
        <f>TEXT(WEEKDAY(DATE(CalendarYear,3,22),1),"aaa")</f>
        <v>#REF!</v>
      </c>
      <c r="X3" s="22" t="e">
        <f>TEXT(WEEKDAY(DATE(CalendarYear,3,23),1),"aaa")</f>
        <v>#REF!</v>
      </c>
      <c r="Y3" s="22" t="e">
        <f>TEXT(WEEKDAY(DATE(CalendarYear,3,24),1),"aaa")</f>
        <v>#REF!</v>
      </c>
      <c r="Z3" s="22" t="e">
        <f>TEXT(WEEKDAY(DATE(CalendarYear,3,25),1),"aaa")</f>
        <v>#REF!</v>
      </c>
      <c r="AA3" s="22" t="e">
        <f>TEXT(WEEKDAY(DATE(CalendarYear,3,26),1),"aaa")</f>
        <v>#REF!</v>
      </c>
      <c r="AB3" s="22" t="e">
        <f>TEXT(WEEKDAY(DATE(CalendarYear,3,27),1),"aaa")</f>
        <v>#REF!</v>
      </c>
      <c r="AC3" s="22" t="e">
        <f>TEXT(WEEKDAY(DATE(CalendarYear,3,28),1),"aaa")</f>
        <v>#REF!</v>
      </c>
      <c r="AD3" s="22" t="e">
        <f>TEXT(WEEKDAY(DATE(CalendarYear,3,29),1),"aaa")</f>
        <v>#REF!</v>
      </c>
      <c r="AE3" s="22" t="e">
        <f>TEXT(WEEKDAY(DATE(CalendarYear,3,30),1),"aaa")</f>
        <v>#REF!</v>
      </c>
      <c r="AF3" s="22" t="e">
        <f>TEXT(WEEKDAY(DATE(CalendarYear,3,31),1),"aaa")</f>
        <v>#REF!</v>
      </c>
      <c r="AG3" s="35"/>
    </row>
    <row r="4" spans="1:34" s="6" customFormat="1" x14ac:dyDescent="0.25">
      <c r="A4" s="32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1" t="s">
        <v>7</v>
      </c>
      <c r="G4" s="31" t="s">
        <v>8</v>
      </c>
      <c r="H4" s="31" t="s">
        <v>9</v>
      </c>
      <c r="I4" s="31" t="s">
        <v>10</v>
      </c>
      <c r="J4" s="31" t="s">
        <v>11</v>
      </c>
      <c r="K4" s="31" t="s">
        <v>12</v>
      </c>
      <c r="L4" s="31" t="s">
        <v>13</v>
      </c>
      <c r="M4" s="31" t="s">
        <v>14</v>
      </c>
      <c r="N4" s="31" t="s">
        <v>15</v>
      </c>
      <c r="O4" s="31" t="s">
        <v>16</v>
      </c>
      <c r="P4" s="31" t="s">
        <v>17</v>
      </c>
      <c r="Q4" s="31" t="s">
        <v>18</v>
      </c>
      <c r="R4" s="31" t="s">
        <v>19</v>
      </c>
      <c r="S4" s="31" t="s">
        <v>20</v>
      </c>
      <c r="T4" s="31" t="s">
        <v>21</v>
      </c>
      <c r="U4" s="31" t="s">
        <v>22</v>
      </c>
      <c r="V4" s="31" t="s">
        <v>23</v>
      </c>
      <c r="W4" s="31" t="s">
        <v>24</v>
      </c>
      <c r="X4" s="31" t="s">
        <v>25</v>
      </c>
      <c r="Y4" s="31" t="s">
        <v>26</v>
      </c>
      <c r="Z4" s="31" t="s">
        <v>27</v>
      </c>
      <c r="AA4" s="31" t="s">
        <v>28</v>
      </c>
      <c r="AB4" s="31" t="s">
        <v>29</v>
      </c>
      <c r="AC4" s="31" t="s">
        <v>30</v>
      </c>
      <c r="AD4" s="10" t="s">
        <v>31</v>
      </c>
      <c r="AE4" s="31" t="s">
        <v>32</v>
      </c>
      <c r="AF4" s="31" t="s">
        <v>33</v>
      </c>
      <c r="AG4" s="31" t="s">
        <v>34</v>
      </c>
      <c r="AH4" s="5"/>
    </row>
    <row r="5" spans="1:34" s="6" customFormat="1" x14ac:dyDescent="0.25">
      <c r="A5" s="30" t="s">
        <v>51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4">
        <f>COUNTA(tblMarch[[#This Row],[1]:[29]])</f>
        <v>0</v>
      </c>
      <c r="AH5" s="5"/>
    </row>
    <row r="6" spans="1:34" s="6" customFormat="1" x14ac:dyDescent="0.25">
      <c r="A6" s="30" t="s">
        <v>52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4">
        <f>COUNTA(tblMarch[[#This Row],[1]:[29]])</f>
        <v>0</v>
      </c>
      <c r="AH6" s="5"/>
    </row>
    <row r="7" spans="1:34" ht="15" customHeight="1" x14ac:dyDescent="0.25">
      <c r="A7" s="30" t="s">
        <v>53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4">
        <f>COUNTA(tblMarch[[#This Row],[1]:[29]])</f>
        <v>0</v>
      </c>
    </row>
    <row r="8" spans="1:34" ht="15" customHeight="1" x14ac:dyDescent="0.25">
      <c r="A8" s="30" t="s">
        <v>54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4">
        <f>COUNTA(tblMarch[[#This Row],[1]:[29]])</f>
        <v>0</v>
      </c>
    </row>
    <row r="9" spans="1:34" s="8" customFormat="1" ht="15" customHeight="1" x14ac:dyDescent="0.25">
      <c r="A9" s="30" t="s">
        <v>55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4">
        <f>COUNTA(tblMarch[[#This Row],[1]:[29]])</f>
        <v>0</v>
      </c>
    </row>
    <row r="10" spans="1:34" ht="15" customHeight="1" x14ac:dyDescent="0.25">
      <c r="A10" s="24" t="str">
        <f>MonthName&amp;" Total"</f>
        <v>March Total</v>
      </c>
      <c r="B10" s="4">
        <f>SUBTOTAL(103,tblMarch[1])</f>
        <v>0</v>
      </c>
      <c r="C10" s="4">
        <f>SUBTOTAL(103,tblMarch[2])</f>
        <v>0</v>
      </c>
      <c r="D10" s="4">
        <f>SUBTOTAL(103,tblMarch[3])</f>
        <v>0</v>
      </c>
      <c r="E10" s="4">
        <f>SUBTOTAL(103,tblMarch[4])</f>
        <v>0</v>
      </c>
      <c r="F10" s="4">
        <f>SUBTOTAL(103,tblMarch[5])</f>
        <v>0</v>
      </c>
      <c r="G10" s="4">
        <f>SUBTOTAL(103,tblMarch[6])</f>
        <v>0</v>
      </c>
      <c r="H10" s="4">
        <f>SUBTOTAL(103,tblMarch[7])</f>
        <v>0</v>
      </c>
      <c r="I10" s="4">
        <f>SUBTOTAL(103,tblMarch[8])</f>
        <v>0</v>
      </c>
      <c r="J10" s="4">
        <f>SUBTOTAL(103,tblMarch[9])</f>
        <v>0</v>
      </c>
      <c r="K10" s="4">
        <f>SUBTOTAL(103,tblMarch[10])</f>
        <v>0</v>
      </c>
      <c r="L10" s="4">
        <f>SUBTOTAL(103,tblMarch[11])</f>
        <v>0</v>
      </c>
      <c r="M10" s="4">
        <f>SUBTOTAL(103,tblMarch[12])</f>
        <v>0</v>
      </c>
      <c r="N10" s="4">
        <f>SUBTOTAL(103,tblMarch[13])</f>
        <v>0</v>
      </c>
      <c r="O10" s="4">
        <f>SUBTOTAL(103,tblMarch[14])</f>
        <v>0</v>
      </c>
      <c r="P10" s="4">
        <f>SUBTOTAL(103,tblMarch[15])</f>
        <v>0</v>
      </c>
      <c r="Q10" s="4">
        <f>SUBTOTAL(103,tblMarch[16])</f>
        <v>0</v>
      </c>
      <c r="R10" s="4">
        <f>SUBTOTAL(103,tblMarch[17])</f>
        <v>0</v>
      </c>
      <c r="S10" s="4">
        <f>SUBTOTAL(103,tblMarch[18])</f>
        <v>0</v>
      </c>
      <c r="T10" s="4">
        <f>SUBTOTAL(103,tblMarch[19])</f>
        <v>0</v>
      </c>
      <c r="U10" s="4">
        <f>SUBTOTAL(103,tblMarch[20])</f>
        <v>0</v>
      </c>
      <c r="V10" s="4">
        <f>SUBTOTAL(103,tblMarch[21])</f>
        <v>0</v>
      </c>
      <c r="W10" s="4">
        <f>SUBTOTAL(103,tblMarch[22])</f>
        <v>0</v>
      </c>
      <c r="X10" s="4">
        <f>SUBTOTAL(103,tblMarch[23])</f>
        <v>0</v>
      </c>
      <c r="Y10" s="4">
        <f>SUBTOTAL(103,tblMarch[24])</f>
        <v>0</v>
      </c>
      <c r="Z10" s="4">
        <f>SUBTOTAL(103,tblMarch[25])</f>
        <v>0</v>
      </c>
      <c r="AA10" s="4">
        <f>SUBTOTAL(103,tblMarch[26])</f>
        <v>0</v>
      </c>
      <c r="AB10" s="4">
        <f>SUBTOTAL(103,tblMarch[27])</f>
        <v>0</v>
      </c>
      <c r="AC10" s="4">
        <f>SUBTOTAL(103,tblMarch[28])</f>
        <v>0</v>
      </c>
      <c r="AD10" s="4">
        <f>SUBTOTAL(103,tblMarch[29])</f>
        <v>0</v>
      </c>
      <c r="AE10" s="4"/>
      <c r="AF10" s="4"/>
      <c r="AG10" s="4">
        <f>SUBTOTAL(109,tblMarch[Total Days])</f>
        <v>0</v>
      </c>
    </row>
    <row r="11" spans="1:34" ht="1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</row>
    <row r="12" spans="1:34" ht="15" customHeight="1" x14ac:dyDescent="0.25">
      <c r="A12"/>
      <c r="B12" s="28" t="e">
        <f>#REF!</f>
        <v>#REF!</v>
      </c>
      <c r="C12" s="28"/>
      <c r="D12" s="28"/>
      <c r="E12" s="28"/>
      <c r="F12" s="29"/>
      <c r="G12" s="19" t="e">
        <f>KeyVacation</f>
        <v>#REF!</v>
      </c>
      <c r="H12" s="25" t="e">
        <f>KeyVacationLabel</f>
        <v>#REF!</v>
      </c>
      <c r="I12" s="26"/>
      <c r="J12" s="26"/>
      <c r="K12" s="15" t="e">
        <f>KeyPersonal</f>
        <v>#REF!</v>
      </c>
      <c r="L12" s="25" t="e">
        <f>KeyPersonalLabel</f>
        <v>#REF!</v>
      </c>
      <c r="M12" s="26"/>
      <c r="N12" s="26"/>
      <c r="O12" s="16" t="e">
        <f>KeySick</f>
        <v>#REF!</v>
      </c>
      <c r="P12" s="25" t="e">
        <f>KeySickLabel</f>
        <v>#REF!</v>
      </c>
      <c r="Q12" s="26"/>
      <c r="R12" s="26"/>
      <c r="S12" s="17" t="e">
        <f>KeyCustom1</f>
        <v>#REF!</v>
      </c>
      <c r="T12" s="25" t="e">
        <f>KeyCustom1Label</f>
        <v>#REF!</v>
      </c>
      <c r="U12" s="27"/>
      <c r="V12" s="26"/>
      <c r="W12" s="18" t="e">
        <f>KeyCustom2</f>
        <v>#REF!</v>
      </c>
      <c r="X12" s="25" t="e">
        <f>KeyCustom2Label</f>
        <v>#REF!</v>
      </c>
      <c r="Y12" s="26"/>
      <c r="Z12" s="27"/>
    </row>
  </sheetData>
  <mergeCells count="4">
    <mergeCell ref="A2:A3"/>
    <mergeCell ref="B2:AF2"/>
    <mergeCell ref="AG2:AG3"/>
    <mergeCell ref="A11:AG11"/>
  </mergeCells>
  <conditionalFormatting sqref="B5:AF9">
    <cfRule type="expression" priority="1" stopIfTrue="1">
      <formula>B5=""</formula>
    </cfRule>
  </conditionalFormatting>
  <conditionalFormatting sqref="B5:AF9">
    <cfRule type="expression" dxfId="699" priority="2" stopIfTrue="1">
      <formula>B5=KeyCustom2</formula>
    </cfRule>
    <cfRule type="expression" dxfId="698" priority="3" stopIfTrue="1">
      <formula>B5=KeyCustom1</formula>
    </cfRule>
    <cfRule type="expression" dxfId="697" priority="4" stopIfTrue="1">
      <formula>B5=KeySick</formula>
    </cfRule>
    <cfRule type="expression" dxfId="696" priority="5" stopIfTrue="1">
      <formula>B5=KeyPersonal</formula>
    </cfRule>
    <cfRule type="expression" dxfId="695" priority="6" stopIfTrue="1">
      <formula>B5=KeyVacation</formula>
    </cfRule>
  </conditionalFormatting>
  <conditionalFormatting sqref="AG5:AG9">
    <cfRule type="dataBar" priority="2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{6E72CF57-6FDE-4024-BC4C-B2350417DE61}</x14:id>
        </ext>
      </extLst>
    </cfRule>
  </conditionalFormatting>
  <pageMargins left="0.25" right="0.25" top="0.75" bottom="0.75" header="0.3" footer="0.3"/>
  <pageSetup scale="80" fitToHeight="0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E72CF57-6FDE-4024-BC4C-B2350417DE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H12"/>
  <sheetViews>
    <sheetView showGridLines="0" zoomScaleNormal="100" workbookViewId="0"/>
  </sheetViews>
  <sheetFormatPr defaultRowHeight="15" customHeight="1" x14ac:dyDescent="0.25"/>
  <cols>
    <col min="1" max="1" width="24.28515625" style="11" customWidth="1"/>
    <col min="2" max="32" width="4" style="8" customWidth="1"/>
    <col min="33" max="33" width="13.5703125" style="7" customWidth="1"/>
    <col min="34" max="34" width="9.140625" style="8"/>
    <col min="35" max="16384" width="9.140625" style="9"/>
  </cols>
  <sheetData>
    <row r="1" spans="1:34" s="1" customFormat="1" ht="50.25" customHeight="1" x14ac:dyDescent="0.25">
      <c r="A1" s="20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3"/>
      <c r="AD1" s="13"/>
      <c r="AE1" s="14"/>
      <c r="AF1"/>
      <c r="AG1"/>
      <c r="AH1" s="2"/>
    </row>
    <row r="2" spans="1:34" ht="30" customHeight="1" x14ac:dyDescent="0.25">
      <c r="A2" s="34" t="s">
        <v>42</v>
      </c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5" t="e">
        <f>CalendarYear</f>
        <v>#REF!</v>
      </c>
    </row>
    <row r="3" spans="1:34" ht="15.75" customHeight="1" x14ac:dyDescent="0.25">
      <c r="A3" s="34"/>
      <c r="B3" s="21" t="e">
        <f>TEXT(WEEKDAY(DATE(CalendarYear,4,1),1),"aaa")</f>
        <v>#REF!</v>
      </c>
      <c r="C3" s="22" t="e">
        <f>TEXT(WEEKDAY(DATE(CalendarYear,4,2),1),"aaa")</f>
        <v>#REF!</v>
      </c>
      <c r="D3" s="22" t="e">
        <f>TEXT(WEEKDAY(DATE(CalendarYear,4,3),1),"aaa")</f>
        <v>#REF!</v>
      </c>
      <c r="E3" s="22" t="e">
        <f>TEXT(WEEKDAY(DATE(CalendarYear,4,4),1),"aaa")</f>
        <v>#REF!</v>
      </c>
      <c r="F3" s="22" t="e">
        <f>TEXT(WEEKDAY(DATE(CalendarYear,4,5),1),"aaa")</f>
        <v>#REF!</v>
      </c>
      <c r="G3" s="22" t="e">
        <f>TEXT(WEEKDAY(DATE(CalendarYear,4,6),1),"aaa")</f>
        <v>#REF!</v>
      </c>
      <c r="H3" s="22" t="e">
        <f>TEXT(WEEKDAY(DATE(CalendarYear,4,7),1),"aaa")</f>
        <v>#REF!</v>
      </c>
      <c r="I3" s="22" t="e">
        <f>TEXT(WEEKDAY(DATE(CalendarYear,4,8),1),"aaa")</f>
        <v>#REF!</v>
      </c>
      <c r="J3" s="22" t="e">
        <f>TEXT(WEEKDAY(DATE(CalendarYear,4,9),1),"aaa")</f>
        <v>#REF!</v>
      </c>
      <c r="K3" s="22" t="e">
        <f>TEXT(WEEKDAY(DATE(CalendarYear,4,10),1),"aaa")</f>
        <v>#REF!</v>
      </c>
      <c r="L3" s="22" t="e">
        <f>TEXT(WEEKDAY(DATE(CalendarYear,4,11),1),"aaa")</f>
        <v>#REF!</v>
      </c>
      <c r="M3" s="22" t="e">
        <f>TEXT(WEEKDAY(DATE(CalendarYear,4,12),1),"aaa")</f>
        <v>#REF!</v>
      </c>
      <c r="N3" s="22" t="e">
        <f>TEXT(WEEKDAY(DATE(CalendarYear,4,13),1),"aaa")</f>
        <v>#REF!</v>
      </c>
      <c r="O3" s="22" t="e">
        <f>TEXT(WEEKDAY(DATE(CalendarYear,4,14),1),"aaa")</f>
        <v>#REF!</v>
      </c>
      <c r="P3" s="22" t="e">
        <f>TEXT(WEEKDAY(DATE(CalendarYear,4,15),1),"aaa")</f>
        <v>#REF!</v>
      </c>
      <c r="Q3" s="22" t="e">
        <f>TEXT(WEEKDAY(DATE(CalendarYear,4,16),1),"aaa")</f>
        <v>#REF!</v>
      </c>
      <c r="R3" s="22" t="e">
        <f>TEXT(WEEKDAY(DATE(CalendarYear,4,17),1),"aaa")</f>
        <v>#REF!</v>
      </c>
      <c r="S3" s="22" t="e">
        <f>TEXT(WEEKDAY(DATE(CalendarYear,4,18),1),"aaa")</f>
        <v>#REF!</v>
      </c>
      <c r="T3" s="22" t="e">
        <f>TEXT(WEEKDAY(DATE(CalendarYear,4,19),1),"aaa")</f>
        <v>#REF!</v>
      </c>
      <c r="U3" s="22" t="e">
        <f>TEXT(WEEKDAY(DATE(CalendarYear,4,20),1),"aaa")</f>
        <v>#REF!</v>
      </c>
      <c r="V3" s="22" t="e">
        <f>TEXT(WEEKDAY(DATE(CalendarYear,4,21),1),"aaa")</f>
        <v>#REF!</v>
      </c>
      <c r="W3" s="22" t="e">
        <f>TEXT(WEEKDAY(DATE(CalendarYear,4,22),1),"aaa")</f>
        <v>#REF!</v>
      </c>
      <c r="X3" s="22" t="e">
        <f>TEXT(WEEKDAY(DATE(CalendarYear,4,23),1),"aaa")</f>
        <v>#REF!</v>
      </c>
      <c r="Y3" s="22" t="e">
        <f>TEXT(WEEKDAY(DATE(CalendarYear,4,24),1),"aaa")</f>
        <v>#REF!</v>
      </c>
      <c r="Z3" s="22" t="e">
        <f>TEXT(WEEKDAY(DATE(CalendarYear,4,25),1),"aaa")</f>
        <v>#REF!</v>
      </c>
      <c r="AA3" s="22" t="e">
        <f>TEXT(WEEKDAY(DATE(CalendarYear,4,26),1),"aaa")</f>
        <v>#REF!</v>
      </c>
      <c r="AB3" s="22" t="e">
        <f>TEXT(WEEKDAY(DATE(CalendarYear,4,27),1),"aaa")</f>
        <v>#REF!</v>
      </c>
      <c r="AC3" s="22" t="e">
        <f>TEXT(WEEKDAY(DATE(CalendarYear,4,28),1),"aaa")</f>
        <v>#REF!</v>
      </c>
      <c r="AD3" s="22" t="e">
        <f>TEXT(WEEKDAY(DATE(CalendarYear,4,29),1),"aaa")</f>
        <v>#REF!</v>
      </c>
      <c r="AE3" s="22" t="e">
        <f>TEXT(WEEKDAY(DATE(CalendarYear,4,30),1),"aaa")</f>
        <v>#REF!</v>
      </c>
      <c r="AF3" s="22"/>
      <c r="AG3" s="35"/>
    </row>
    <row r="4" spans="1:34" s="6" customFormat="1" x14ac:dyDescent="0.25">
      <c r="A4" s="32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1" t="s">
        <v>7</v>
      </c>
      <c r="G4" s="31" t="s">
        <v>8</v>
      </c>
      <c r="H4" s="31" t="s">
        <v>9</v>
      </c>
      <c r="I4" s="31" t="s">
        <v>10</v>
      </c>
      <c r="J4" s="31" t="s">
        <v>11</v>
      </c>
      <c r="K4" s="31" t="s">
        <v>12</v>
      </c>
      <c r="L4" s="31" t="s">
        <v>13</v>
      </c>
      <c r="M4" s="31" t="s">
        <v>14</v>
      </c>
      <c r="N4" s="31" t="s">
        <v>15</v>
      </c>
      <c r="O4" s="31" t="s">
        <v>16</v>
      </c>
      <c r="P4" s="31" t="s">
        <v>17</v>
      </c>
      <c r="Q4" s="31" t="s">
        <v>18</v>
      </c>
      <c r="R4" s="31" t="s">
        <v>19</v>
      </c>
      <c r="S4" s="31" t="s">
        <v>20</v>
      </c>
      <c r="T4" s="31" t="s">
        <v>21</v>
      </c>
      <c r="U4" s="31" t="s">
        <v>22</v>
      </c>
      <c r="V4" s="31" t="s">
        <v>23</v>
      </c>
      <c r="W4" s="31" t="s">
        <v>24</v>
      </c>
      <c r="X4" s="31" t="s">
        <v>25</v>
      </c>
      <c r="Y4" s="31" t="s">
        <v>26</v>
      </c>
      <c r="Z4" s="31" t="s">
        <v>27</v>
      </c>
      <c r="AA4" s="31" t="s">
        <v>28</v>
      </c>
      <c r="AB4" s="31" t="s">
        <v>29</v>
      </c>
      <c r="AC4" s="31" t="s">
        <v>30</v>
      </c>
      <c r="AD4" s="10" t="s">
        <v>31</v>
      </c>
      <c r="AE4" s="31" t="s">
        <v>32</v>
      </c>
      <c r="AF4" s="31" t="s">
        <v>37</v>
      </c>
      <c r="AG4" s="31" t="s">
        <v>34</v>
      </c>
      <c r="AH4" s="5"/>
    </row>
    <row r="5" spans="1:34" s="6" customFormat="1" x14ac:dyDescent="0.25">
      <c r="A5" s="30" t="s">
        <v>51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4">
        <f>COUNTA(tblApril[[#This Row],[1]:[29]])</f>
        <v>0</v>
      </c>
      <c r="AH5" s="5"/>
    </row>
    <row r="6" spans="1:34" s="6" customFormat="1" x14ac:dyDescent="0.25">
      <c r="A6" s="30" t="s">
        <v>52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4">
        <f>COUNTA(tblApril[[#This Row],[1]:[29]])</f>
        <v>0</v>
      </c>
      <c r="AH6" s="5"/>
    </row>
    <row r="7" spans="1:34" ht="15" customHeight="1" x14ac:dyDescent="0.25">
      <c r="A7" s="30" t="s">
        <v>53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4">
        <f>COUNTA(tblApril[[#This Row],[1]:[29]])</f>
        <v>0</v>
      </c>
    </row>
    <row r="8" spans="1:34" ht="15" customHeight="1" x14ac:dyDescent="0.25">
      <c r="A8" s="30" t="s">
        <v>54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4">
        <f>COUNTA(tblApril[[#This Row],[1]:[29]])</f>
        <v>0</v>
      </c>
    </row>
    <row r="9" spans="1:34" s="8" customFormat="1" ht="15" customHeight="1" x14ac:dyDescent="0.25">
      <c r="A9" s="30" t="s">
        <v>55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4">
        <f>COUNTA(tblApril[[#This Row],[1]:[29]])</f>
        <v>0</v>
      </c>
    </row>
    <row r="10" spans="1:34" ht="15" customHeight="1" x14ac:dyDescent="0.25">
      <c r="A10" s="24" t="str">
        <f>MonthName&amp;" Total"</f>
        <v>April Total</v>
      </c>
      <c r="B10" s="4">
        <f>SUBTOTAL(103,tblApril[1])</f>
        <v>0</v>
      </c>
      <c r="C10" s="4">
        <f>SUBTOTAL(103,tblApril[2])</f>
        <v>0</v>
      </c>
      <c r="D10" s="4">
        <f>SUBTOTAL(103,tblApril[3])</f>
        <v>0</v>
      </c>
      <c r="E10" s="4">
        <f>SUBTOTAL(103,tblApril[4])</f>
        <v>0</v>
      </c>
      <c r="F10" s="4">
        <f>SUBTOTAL(103,tblApril[5])</f>
        <v>0</v>
      </c>
      <c r="G10" s="4">
        <f>SUBTOTAL(103,tblApril[6])</f>
        <v>0</v>
      </c>
      <c r="H10" s="4">
        <f>SUBTOTAL(103,tblApril[7])</f>
        <v>0</v>
      </c>
      <c r="I10" s="4">
        <f>SUBTOTAL(103,tblApril[8])</f>
        <v>0</v>
      </c>
      <c r="J10" s="4">
        <f>SUBTOTAL(103,tblApril[9])</f>
        <v>0</v>
      </c>
      <c r="K10" s="4">
        <f>SUBTOTAL(103,tblApril[10])</f>
        <v>0</v>
      </c>
      <c r="L10" s="4">
        <f>SUBTOTAL(103,tblApril[11])</f>
        <v>0</v>
      </c>
      <c r="M10" s="4">
        <f>SUBTOTAL(103,tblApril[12])</f>
        <v>0</v>
      </c>
      <c r="N10" s="4">
        <f>SUBTOTAL(103,tblApril[13])</f>
        <v>0</v>
      </c>
      <c r="O10" s="4">
        <f>SUBTOTAL(103,tblApril[14])</f>
        <v>0</v>
      </c>
      <c r="P10" s="4">
        <f>SUBTOTAL(103,tblApril[15])</f>
        <v>0</v>
      </c>
      <c r="Q10" s="4">
        <f>SUBTOTAL(103,tblApril[16])</f>
        <v>0</v>
      </c>
      <c r="R10" s="4">
        <f>SUBTOTAL(103,tblApril[17])</f>
        <v>0</v>
      </c>
      <c r="S10" s="4">
        <f>SUBTOTAL(103,tblApril[18])</f>
        <v>0</v>
      </c>
      <c r="T10" s="4">
        <f>SUBTOTAL(103,tblApril[19])</f>
        <v>0</v>
      </c>
      <c r="U10" s="4">
        <f>SUBTOTAL(103,tblApril[20])</f>
        <v>0</v>
      </c>
      <c r="V10" s="4">
        <f>SUBTOTAL(103,tblApril[21])</f>
        <v>0</v>
      </c>
      <c r="W10" s="4">
        <f>SUBTOTAL(103,tblApril[22])</f>
        <v>0</v>
      </c>
      <c r="X10" s="4">
        <f>SUBTOTAL(103,tblApril[23])</f>
        <v>0</v>
      </c>
      <c r="Y10" s="4">
        <f>SUBTOTAL(103,tblApril[24])</f>
        <v>0</v>
      </c>
      <c r="Z10" s="4">
        <f>SUBTOTAL(103,tblApril[25])</f>
        <v>0</v>
      </c>
      <c r="AA10" s="4">
        <f>SUBTOTAL(103,tblApril[26])</f>
        <v>0</v>
      </c>
      <c r="AB10" s="4">
        <f>SUBTOTAL(103,tblApril[27])</f>
        <v>0</v>
      </c>
      <c r="AC10" s="4">
        <f>SUBTOTAL(103,tblApril[28])</f>
        <v>0</v>
      </c>
      <c r="AD10" s="4">
        <f>SUBTOTAL(103,tblApril[29])</f>
        <v>0</v>
      </c>
      <c r="AE10" s="4"/>
      <c r="AF10" s="4"/>
      <c r="AG10" s="4">
        <f>SUBTOTAL(109,tblApril[Total Days])</f>
        <v>0</v>
      </c>
    </row>
    <row r="11" spans="1:34" ht="1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</row>
    <row r="12" spans="1:34" ht="15" customHeight="1" x14ac:dyDescent="0.25">
      <c r="A12"/>
      <c r="B12" s="28" t="e">
        <f>#REF!</f>
        <v>#REF!</v>
      </c>
      <c r="C12" s="28"/>
      <c r="D12" s="28"/>
      <c r="E12" s="28"/>
      <c r="F12" s="29"/>
      <c r="G12" s="19" t="e">
        <f>KeyVacation</f>
        <v>#REF!</v>
      </c>
      <c r="H12" s="25" t="e">
        <f>KeyVacationLabel</f>
        <v>#REF!</v>
      </c>
      <c r="I12" s="26"/>
      <c r="J12" s="26"/>
      <c r="K12" s="15" t="e">
        <f>KeyPersonal</f>
        <v>#REF!</v>
      </c>
      <c r="L12" s="25" t="e">
        <f>KeyPersonalLabel</f>
        <v>#REF!</v>
      </c>
      <c r="M12" s="26"/>
      <c r="N12" s="26"/>
      <c r="O12" s="16" t="e">
        <f>KeySick</f>
        <v>#REF!</v>
      </c>
      <c r="P12" s="25" t="e">
        <f>KeySickLabel</f>
        <v>#REF!</v>
      </c>
      <c r="Q12" s="26"/>
      <c r="R12" s="26"/>
      <c r="S12" s="17" t="e">
        <f>KeyCustom1</f>
        <v>#REF!</v>
      </c>
      <c r="T12" s="25" t="e">
        <f>KeyCustom1Label</f>
        <v>#REF!</v>
      </c>
      <c r="U12" s="27"/>
      <c r="V12" s="26"/>
      <c r="W12" s="18" t="e">
        <f>KeyCustom2</f>
        <v>#REF!</v>
      </c>
      <c r="X12" s="25" t="e">
        <f>KeyCustom2Label</f>
        <v>#REF!</v>
      </c>
      <c r="Y12" s="26"/>
      <c r="Z12" s="27"/>
    </row>
  </sheetData>
  <mergeCells count="4">
    <mergeCell ref="A2:A3"/>
    <mergeCell ref="B2:AF2"/>
    <mergeCell ref="AG2:AG3"/>
    <mergeCell ref="A11:AG11"/>
  </mergeCells>
  <conditionalFormatting sqref="B5:AF9">
    <cfRule type="expression" priority="1" stopIfTrue="1">
      <formula>B5=""</formula>
    </cfRule>
  </conditionalFormatting>
  <conditionalFormatting sqref="B5:AF9">
    <cfRule type="expression" dxfId="629" priority="2" stopIfTrue="1">
      <formula>B5=KeyCustom2</formula>
    </cfRule>
    <cfRule type="expression" dxfId="628" priority="3" stopIfTrue="1">
      <formula>B5=KeyCustom1</formula>
    </cfRule>
    <cfRule type="expression" dxfId="627" priority="4" stopIfTrue="1">
      <formula>B5=KeySick</formula>
    </cfRule>
    <cfRule type="expression" dxfId="626" priority="5" stopIfTrue="1">
      <formula>B5=KeyPersonal</formula>
    </cfRule>
    <cfRule type="expression" dxfId="625" priority="6" stopIfTrue="1">
      <formula>B5=KeyVacation</formula>
    </cfRule>
  </conditionalFormatting>
  <conditionalFormatting sqref="AG5:AG9">
    <cfRule type="dataBar" priority="22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{9F84199F-9F40-4560-9610-01EAA5EACF75}</x14:id>
        </ext>
      </extLst>
    </cfRule>
  </conditionalFormatting>
  <pageMargins left="0.25" right="0.25" top="0.75" bottom="0.75" header="0.3" footer="0.3"/>
  <pageSetup scale="80" fitToHeight="0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84199F-9F40-4560-9610-01EAA5EACF75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H12"/>
  <sheetViews>
    <sheetView showGridLines="0" zoomScaleNormal="100" workbookViewId="0"/>
  </sheetViews>
  <sheetFormatPr defaultRowHeight="15" customHeight="1" x14ac:dyDescent="0.25"/>
  <cols>
    <col min="1" max="1" width="24.28515625" style="11" customWidth="1"/>
    <col min="2" max="32" width="4" style="8" customWidth="1"/>
    <col min="33" max="33" width="13.5703125" style="7" customWidth="1"/>
    <col min="34" max="34" width="9.140625" style="8"/>
    <col min="35" max="16384" width="9.140625" style="9"/>
  </cols>
  <sheetData>
    <row r="1" spans="1:34" s="1" customFormat="1" ht="50.25" customHeight="1" x14ac:dyDescent="0.25">
      <c r="A1" s="20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3"/>
      <c r="AD1" s="13"/>
      <c r="AE1" s="14"/>
      <c r="AF1"/>
      <c r="AG1"/>
      <c r="AH1" s="2"/>
    </row>
    <row r="2" spans="1:34" ht="30" customHeight="1" x14ac:dyDescent="0.25">
      <c r="A2" s="34" t="s">
        <v>43</v>
      </c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5" t="e">
        <f>CalendarYear</f>
        <v>#REF!</v>
      </c>
    </row>
    <row r="3" spans="1:34" ht="15.75" customHeight="1" x14ac:dyDescent="0.25">
      <c r="A3" s="34"/>
      <c r="B3" s="21" t="e">
        <f>TEXT(WEEKDAY(DATE(CalendarYear,5,1),1),"aaa")</f>
        <v>#REF!</v>
      </c>
      <c r="C3" s="22" t="e">
        <f>TEXT(WEEKDAY(DATE(CalendarYear,5,2),1),"aaa")</f>
        <v>#REF!</v>
      </c>
      <c r="D3" s="22" t="e">
        <f>TEXT(WEEKDAY(DATE(CalendarYear,5,3),1),"aaa")</f>
        <v>#REF!</v>
      </c>
      <c r="E3" s="22" t="e">
        <f>TEXT(WEEKDAY(DATE(CalendarYear,5,4),1),"aaa")</f>
        <v>#REF!</v>
      </c>
      <c r="F3" s="22" t="e">
        <f>TEXT(WEEKDAY(DATE(CalendarYear,5,5),1),"aaa")</f>
        <v>#REF!</v>
      </c>
      <c r="G3" s="22" t="e">
        <f>TEXT(WEEKDAY(DATE(CalendarYear,5,6),1),"aaa")</f>
        <v>#REF!</v>
      </c>
      <c r="H3" s="22" t="e">
        <f>TEXT(WEEKDAY(DATE(CalendarYear,5,7),1),"aaa")</f>
        <v>#REF!</v>
      </c>
      <c r="I3" s="22" t="e">
        <f>TEXT(WEEKDAY(DATE(CalendarYear,5,8),1),"aaa")</f>
        <v>#REF!</v>
      </c>
      <c r="J3" s="22" t="e">
        <f>TEXT(WEEKDAY(DATE(CalendarYear,5,9),1),"aaa")</f>
        <v>#REF!</v>
      </c>
      <c r="K3" s="22" t="e">
        <f>TEXT(WEEKDAY(DATE(CalendarYear,5,10),1),"aaa")</f>
        <v>#REF!</v>
      </c>
      <c r="L3" s="22" t="e">
        <f>TEXT(WEEKDAY(DATE(CalendarYear,5,11),1),"aaa")</f>
        <v>#REF!</v>
      </c>
      <c r="M3" s="22" t="e">
        <f>TEXT(WEEKDAY(DATE(CalendarYear,5,12),1),"aaa")</f>
        <v>#REF!</v>
      </c>
      <c r="N3" s="22" t="e">
        <f>TEXT(WEEKDAY(DATE(CalendarYear,5,13),1),"aaa")</f>
        <v>#REF!</v>
      </c>
      <c r="O3" s="22" t="e">
        <f>TEXT(WEEKDAY(DATE(CalendarYear,5,14),1),"aaa")</f>
        <v>#REF!</v>
      </c>
      <c r="P3" s="22" t="e">
        <f>TEXT(WEEKDAY(DATE(CalendarYear,5,15),1),"aaa")</f>
        <v>#REF!</v>
      </c>
      <c r="Q3" s="22" t="e">
        <f>TEXT(WEEKDAY(DATE(CalendarYear,5,16),1),"aaa")</f>
        <v>#REF!</v>
      </c>
      <c r="R3" s="22" t="e">
        <f>TEXT(WEEKDAY(DATE(CalendarYear,5,17),1),"aaa")</f>
        <v>#REF!</v>
      </c>
      <c r="S3" s="22" t="e">
        <f>TEXT(WEEKDAY(DATE(CalendarYear,5,18),1),"aaa")</f>
        <v>#REF!</v>
      </c>
      <c r="T3" s="22" t="e">
        <f>TEXT(WEEKDAY(DATE(CalendarYear,5,19),1),"aaa")</f>
        <v>#REF!</v>
      </c>
      <c r="U3" s="22" t="e">
        <f>TEXT(WEEKDAY(DATE(CalendarYear,5,20),1),"aaa")</f>
        <v>#REF!</v>
      </c>
      <c r="V3" s="22" t="e">
        <f>TEXT(WEEKDAY(DATE(CalendarYear,5,21),1),"aaa")</f>
        <v>#REF!</v>
      </c>
      <c r="W3" s="22" t="e">
        <f>TEXT(WEEKDAY(DATE(CalendarYear,5,22),1),"aaa")</f>
        <v>#REF!</v>
      </c>
      <c r="X3" s="22" t="e">
        <f>TEXT(WEEKDAY(DATE(CalendarYear,5,23),1),"aaa")</f>
        <v>#REF!</v>
      </c>
      <c r="Y3" s="22" t="e">
        <f>TEXT(WEEKDAY(DATE(CalendarYear,5,24),1),"aaa")</f>
        <v>#REF!</v>
      </c>
      <c r="Z3" s="22" t="e">
        <f>TEXT(WEEKDAY(DATE(CalendarYear,5,25),1),"aaa")</f>
        <v>#REF!</v>
      </c>
      <c r="AA3" s="22" t="e">
        <f>TEXT(WEEKDAY(DATE(CalendarYear,5,26),1),"aaa")</f>
        <v>#REF!</v>
      </c>
      <c r="AB3" s="22" t="e">
        <f>TEXT(WEEKDAY(DATE(CalendarYear,5,27),1),"aaa")</f>
        <v>#REF!</v>
      </c>
      <c r="AC3" s="22" t="e">
        <f>TEXT(WEEKDAY(DATE(CalendarYear,5,28),1),"aaa")</f>
        <v>#REF!</v>
      </c>
      <c r="AD3" s="22" t="e">
        <f>TEXT(WEEKDAY(DATE(CalendarYear,5,29),1),"aaa")</f>
        <v>#REF!</v>
      </c>
      <c r="AE3" s="22" t="e">
        <f>TEXT(WEEKDAY(DATE(CalendarYear,5,30),1),"aaa")</f>
        <v>#REF!</v>
      </c>
      <c r="AF3" s="22" t="e">
        <f>TEXT(WEEKDAY(DATE(CalendarYear,5,31),1),"aaa")</f>
        <v>#REF!</v>
      </c>
      <c r="AG3" s="35"/>
    </row>
    <row r="4" spans="1:34" s="6" customFormat="1" x14ac:dyDescent="0.25">
      <c r="A4" s="32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1" t="s">
        <v>7</v>
      </c>
      <c r="G4" s="31" t="s">
        <v>8</v>
      </c>
      <c r="H4" s="31" t="s">
        <v>9</v>
      </c>
      <c r="I4" s="31" t="s">
        <v>10</v>
      </c>
      <c r="J4" s="31" t="s">
        <v>11</v>
      </c>
      <c r="K4" s="31" t="s">
        <v>12</v>
      </c>
      <c r="L4" s="31" t="s">
        <v>13</v>
      </c>
      <c r="M4" s="31" t="s">
        <v>14</v>
      </c>
      <c r="N4" s="31" t="s">
        <v>15</v>
      </c>
      <c r="O4" s="31" t="s">
        <v>16</v>
      </c>
      <c r="P4" s="31" t="s">
        <v>17</v>
      </c>
      <c r="Q4" s="31" t="s">
        <v>18</v>
      </c>
      <c r="R4" s="31" t="s">
        <v>19</v>
      </c>
      <c r="S4" s="31" t="s">
        <v>20</v>
      </c>
      <c r="T4" s="31" t="s">
        <v>21</v>
      </c>
      <c r="U4" s="31" t="s">
        <v>22</v>
      </c>
      <c r="V4" s="31" t="s">
        <v>23</v>
      </c>
      <c r="W4" s="31" t="s">
        <v>24</v>
      </c>
      <c r="X4" s="31" t="s">
        <v>25</v>
      </c>
      <c r="Y4" s="31" t="s">
        <v>26</v>
      </c>
      <c r="Z4" s="31" t="s">
        <v>27</v>
      </c>
      <c r="AA4" s="31" t="s">
        <v>28</v>
      </c>
      <c r="AB4" s="31" t="s">
        <v>29</v>
      </c>
      <c r="AC4" s="31" t="s">
        <v>30</v>
      </c>
      <c r="AD4" s="10" t="s">
        <v>31</v>
      </c>
      <c r="AE4" s="31" t="s">
        <v>32</v>
      </c>
      <c r="AF4" s="31" t="s">
        <v>33</v>
      </c>
      <c r="AG4" s="31" t="s">
        <v>34</v>
      </c>
      <c r="AH4" s="5"/>
    </row>
    <row r="5" spans="1:34" s="6" customFormat="1" x14ac:dyDescent="0.25">
      <c r="A5" s="30" t="s">
        <v>51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4">
        <f>COUNTA(tblMay[[#This Row],[1]:[29]])</f>
        <v>0</v>
      </c>
      <c r="AH5" s="5"/>
    </row>
    <row r="6" spans="1:34" s="6" customFormat="1" x14ac:dyDescent="0.25">
      <c r="A6" s="30" t="s">
        <v>52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4">
        <f>COUNTA(tblMay[[#This Row],[1]:[29]])</f>
        <v>0</v>
      </c>
      <c r="AH6" s="5"/>
    </row>
    <row r="7" spans="1:34" ht="15" customHeight="1" x14ac:dyDescent="0.25">
      <c r="A7" s="30" t="s">
        <v>53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4">
        <f>COUNTA(tblMay[[#This Row],[1]:[29]])</f>
        <v>0</v>
      </c>
    </row>
    <row r="8" spans="1:34" ht="15" customHeight="1" x14ac:dyDescent="0.25">
      <c r="A8" s="30" t="s">
        <v>54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4">
        <f>COUNTA(tblMay[[#This Row],[1]:[29]])</f>
        <v>0</v>
      </c>
    </row>
    <row r="9" spans="1:34" s="8" customFormat="1" ht="15" customHeight="1" x14ac:dyDescent="0.25">
      <c r="A9" s="30" t="s">
        <v>55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4">
        <f>COUNTA(tblMay[[#This Row],[1]:[29]])</f>
        <v>0</v>
      </c>
    </row>
    <row r="10" spans="1:34" ht="15" customHeight="1" x14ac:dyDescent="0.25">
      <c r="A10" s="24" t="str">
        <f>MonthName&amp;" Total"</f>
        <v>May Total</v>
      </c>
      <c r="B10" s="4">
        <f>SUBTOTAL(103,tblMay[1])</f>
        <v>0</v>
      </c>
      <c r="C10" s="4">
        <f>SUBTOTAL(103,tblMay[2])</f>
        <v>0</v>
      </c>
      <c r="D10" s="4">
        <f>SUBTOTAL(103,tblMay[3])</f>
        <v>0</v>
      </c>
      <c r="E10" s="4">
        <f>SUBTOTAL(103,tblMay[4])</f>
        <v>0</v>
      </c>
      <c r="F10" s="4">
        <f>SUBTOTAL(103,tblMay[5])</f>
        <v>0</v>
      </c>
      <c r="G10" s="4">
        <f>SUBTOTAL(103,tblMay[6])</f>
        <v>0</v>
      </c>
      <c r="H10" s="4">
        <f>SUBTOTAL(103,tblMay[7])</f>
        <v>0</v>
      </c>
      <c r="I10" s="4">
        <f>SUBTOTAL(103,tblMay[8])</f>
        <v>0</v>
      </c>
      <c r="J10" s="4">
        <f>SUBTOTAL(103,tblMay[9])</f>
        <v>0</v>
      </c>
      <c r="K10" s="4">
        <f>SUBTOTAL(103,tblMay[10])</f>
        <v>0</v>
      </c>
      <c r="L10" s="4">
        <f>SUBTOTAL(103,tblMay[11])</f>
        <v>0</v>
      </c>
      <c r="M10" s="4">
        <f>SUBTOTAL(103,tblMay[12])</f>
        <v>0</v>
      </c>
      <c r="N10" s="4">
        <f>SUBTOTAL(103,tblMay[13])</f>
        <v>0</v>
      </c>
      <c r="O10" s="4">
        <f>SUBTOTAL(103,tblMay[14])</f>
        <v>0</v>
      </c>
      <c r="P10" s="4">
        <f>SUBTOTAL(103,tblMay[15])</f>
        <v>0</v>
      </c>
      <c r="Q10" s="4">
        <f>SUBTOTAL(103,tblMay[16])</f>
        <v>0</v>
      </c>
      <c r="R10" s="4">
        <f>SUBTOTAL(103,tblMay[17])</f>
        <v>0</v>
      </c>
      <c r="S10" s="4">
        <f>SUBTOTAL(103,tblMay[18])</f>
        <v>0</v>
      </c>
      <c r="T10" s="4">
        <f>SUBTOTAL(103,tblMay[19])</f>
        <v>0</v>
      </c>
      <c r="U10" s="4">
        <f>SUBTOTAL(103,tblMay[20])</f>
        <v>0</v>
      </c>
      <c r="V10" s="4">
        <f>SUBTOTAL(103,tblMay[21])</f>
        <v>0</v>
      </c>
      <c r="W10" s="4">
        <f>SUBTOTAL(103,tblMay[22])</f>
        <v>0</v>
      </c>
      <c r="X10" s="4">
        <f>SUBTOTAL(103,tblMay[23])</f>
        <v>0</v>
      </c>
      <c r="Y10" s="4">
        <f>SUBTOTAL(103,tblMay[24])</f>
        <v>0</v>
      </c>
      <c r="Z10" s="4">
        <f>SUBTOTAL(103,tblMay[25])</f>
        <v>0</v>
      </c>
      <c r="AA10" s="4">
        <f>SUBTOTAL(103,tblMay[26])</f>
        <v>0</v>
      </c>
      <c r="AB10" s="4">
        <f>SUBTOTAL(103,tblMay[27])</f>
        <v>0</v>
      </c>
      <c r="AC10" s="4">
        <f>SUBTOTAL(103,tblMay[28])</f>
        <v>0</v>
      </c>
      <c r="AD10" s="4">
        <f>SUBTOTAL(103,tblMay[29])</f>
        <v>0</v>
      </c>
      <c r="AE10" s="4"/>
      <c r="AF10" s="4"/>
      <c r="AG10" s="4">
        <f>SUBTOTAL(109,tblMay[Total Days])</f>
        <v>0</v>
      </c>
    </row>
    <row r="11" spans="1:34" ht="1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</row>
    <row r="12" spans="1:34" ht="15" customHeight="1" x14ac:dyDescent="0.25">
      <c r="A12"/>
      <c r="B12" s="28" t="e">
        <f>#REF!</f>
        <v>#REF!</v>
      </c>
      <c r="C12" s="28"/>
      <c r="D12" s="28"/>
      <c r="E12" s="28"/>
      <c r="F12" s="29"/>
      <c r="G12" s="19" t="e">
        <f>KeyVacation</f>
        <v>#REF!</v>
      </c>
      <c r="H12" s="25" t="e">
        <f>KeyVacationLabel</f>
        <v>#REF!</v>
      </c>
      <c r="I12" s="26"/>
      <c r="J12" s="26"/>
      <c r="K12" s="15" t="e">
        <f>KeyPersonal</f>
        <v>#REF!</v>
      </c>
      <c r="L12" s="25" t="e">
        <f>KeyPersonalLabel</f>
        <v>#REF!</v>
      </c>
      <c r="M12" s="26"/>
      <c r="N12" s="26"/>
      <c r="O12" s="16" t="e">
        <f>KeySick</f>
        <v>#REF!</v>
      </c>
      <c r="P12" s="25" t="e">
        <f>KeySickLabel</f>
        <v>#REF!</v>
      </c>
      <c r="Q12" s="26"/>
      <c r="R12" s="26"/>
      <c r="S12" s="17" t="e">
        <f>KeyCustom1</f>
        <v>#REF!</v>
      </c>
      <c r="T12" s="25" t="e">
        <f>KeyCustom1Label</f>
        <v>#REF!</v>
      </c>
      <c r="U12" s="27"/>
      <c r="V12" s="26"/>
      <c r="W12" s="18" t="e">
        <f>KeyCustom2</f>
        <v>#REF!</v>
      </c>
      <c r="X12" s="25" t="e">
        <f>KeyCustom2Label</f>
        <v>#REF!</v>
      </c>
      <c r="Y12" s="26"/>
      <c r="Z12" s="27"/>
    </row>
  </sheetData>
  <mergeCells count="4">
    <mergeCell ref="A2:A3"/>
    <mergeCell ref="B2:AF2"/>
    <mergeCell ref="AG2:AG3"/>
    <mergeCell ref="A11:AG11"/>
  </mergeCells>
  <conditionalFormatting sqref="B5:AF9">
    <cfRule type="expression" priority="1" stopIfTrue="1">
      <formula>B5=""</formula>
    </cfRule>
  </conditionalFormatting>
  <conditionalFormatting sqref="B5:AF9">
    <cfRule type="expression" dxfId="559" priority="2" stopIfTrue="1">
      <formula>B5=KeyCustom2</formula>
    </cfRule>
    <cfRule type="expression" dxfId="558" priority="3" stopIfTrue="1">
      <formula>B5=KeyCustom1</formula>
    </cfRule>
    <cfRule type="expression" dxfId="557" priority="4" stopIfTrue="1">
      <formula>B5=KeySick</formula>
    </cfRule>
    <cfRule type="expression" dxfId="556" priority="5" stopIfTrue="1">
      <formula>B5=KeyPersonal</formula>
    </cfRule>
    <cfRule type="expression" dxfId="555" priority="6" stopIfTrue="1">
      <formula>B5=KeyVacation</formula>
    </cfRule>
  </conditionalFormatting>
  <conditionalFormatting sqref="AG5:AG9">
    <cfRule type="dataBar" priority="23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{21200745-4ED2-4331-A492-FDEB5AAF3195}</x14:id>
        </ext>
      </extLst>
    </cfRule>
  </conditionalFormatting>
  <pageMargins left="0.25" right="0.25" top="0.75" bottom="0.75" header="0.3" footer="0.3"/>
  <pageSetup scale="80" fitToHeight="0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200745-4ED2-4331-A492-FDEB5AAF3195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AH12"/>
  <sheetViews>
    <sheetView showGridLines="0" zoomScaleNormal="100" workbookViewId="0"/>
  </sheetViews>
  <sheetFormatPr defaultRowHeight="15" customHeight="1" x14ac:dyDescent="0.25"/>
  <cols>
    <col min="1" max="1" width="24.28515625" style="11" customWidth="1"/>
    <col min="2" max="32" width="4" style="8" customWidth="1"/>
    <col min="33" max="33" width="13.5703125" style="7" customWidth="1"/>
    <col min="34" max="34" width="9.140625" style="8"/>
    <col min="35" max="16384" width="9.140625" style="9"/>
  </cols>
  <sheetData>
    <row r="1" spans="1:34" s="1" customFormat="1" ht="50.25" customHeight="1" x14ac:dyDescent="0.25">
      <c r="A1" s="20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3"/>
      <c r="AD1" s="13"/>
      <c r="AE1" s="14"/>
      <c r="AF1"/>
      <c r="AG1"/>
      <c r="AH1" s="2"/>
    </row>
    <row r="2" spans="1:34" ht="30" customHeight="1" x14ac:dyDescent="0.25">
      <c r="A2" s="34" t="s">
        <v>44</v>
      </c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5" t="e">
        <f>CalendarYear</f>
        <v>#REF!</v>
      </c>
    </row>
    <row r="3" spans="1:34" ht="15.75" customHeight="1" x14ac:dyDescent="0.25">
      <c r="A3" s="34"/>
      <c r="B3" s="21" t="e">
        <f>TEXT(WEEKDAY(DATE(CalendarYear,6,1),1),"aaa")</f>
        <v>#REF!</v>
      </c>
      <c r="C3" s="22" t="e">
        <f>TEXT(WEEKDAY(DATE(CalendarYear,6,2),1),"aaa")</f>
        <v>#REF!</v>
      </c>
      <c r="D3" s="22" t="e">
        <f>TEXT(WEEKDAY(DATE(CalendarYear,6,3),1),"aaa")</f>
        <v>#REF!</v>
      </c>
      <c r="E3" s="22" t="e">
        <f>TEXT(WEEKDAY(DATE(CalendarYear,6,4),1),"aaa")</f>
        <v>#REF!</v>
      </c>
      <c r="F3" s="22" t="e">
        <f>TEXT(WEEKDAY(DATE(CalendarYear,6,5),1),"aaa")</f>
        <v>#REF!</v>
      </c>
      <c r="G3" s="22" t="e">
        <f>TEXT(WEEKDAY(DATE(CalendarYear,6,6),1),"aaa")</f>
        <v>#REF!</v>
      </c>
      <c r="H3" s="22" t="e">
        <f>TEXT(WEEKDAY(DATE(CalendarYear,6,7),1),"aaa")</f>
        <v>#REF!</v>
      </c>
      <c r="I3" s="22" t="e">
        <f>TEXT(WEEKDAY(DATE(CalendarYear,6,8),1),"aaa")</f>
        <v>#REF!</v>
      </c>
      <c r="J3" s="22" t="e">
        <f>TEXT(WEEKDAY(DATE(CalendarYear,6,9),1),"aaa")</f>
        <v>#REF!</v>
      </c>
      <c r="K3" s="22" t="e">
        <f>TEXT(WEEKDAY(DATE(CalendarYear,6,10),1),"aaa")</f>
        <v>#REF!</v>
      </c>
      <c r="L3" s="22" t="e">
        <f>TEXT(WEEKDAY(DATE(CalendarYear,6,11),1),"aaa")</f>
        <v>#REF!</v>
      </c>
      <c r="M3" s="22" t="e">
        <f>TEXT(WEEKDAY(DATE(CalendarYear,6,12),1),"aaa")</f>
        <v>#REF!</v>
      </c>
      <c r="N3" s="22" t="e">
        <f>TEXT(WEEKDAY(DATE(CalendarYear,6,13),1),"aaa")</f>
        <v>#REF!</v>
      </c>
      <c r="O3" s="22" t="e">
        <f>TEXT(WEEKDAY(DATE(CalendarYear,6,14),1),"aaa")</f>
        <v>#REF!</v>
      </c>
      <c r="P3" s="22" t="e">
        <f>TEXT(WEEKDAY(DATE(CalendarYear,6,15),1),"aaa")</f>
        <v>#REF!</v>
      </c>
      <c r="Q3" s="22" t="e">
        <f>TEXT(WEEKDAY(DATE(CalendarYear,6,16),1),"aaa")</f>
        <v>#REF!</v>
      </c>
      <c r="R3" s="22" t="e">
        <f>TEXT(WEEKDAY(DATE(CalendarYear,6,17),1),"aaa")</f>
        <v>#REF!</v>
      </c>
      <c r="S3" s="22" t="e">
        <f>TEXT(WEEKDAY(DATE(CalendarYear,6,18),1),"aaa")</f>
        <v>#REF!</v>
      </c>
      <c r="T3" s="22" t="e">
        <f>TEXT(WEEKDAY(DATE(CalendarYear,6,19),1),"aaa")</f>
        <v>#REF!</v>
      </c>
      <c r="U3" s="22" t="e">
        <f>TEXT(WEEKDAY(DATE(CalendarYear,6,20),1),"aaa")</f>
        <v>#REF!</v>
      </c>
      <c r="V3" s="22" t="e">
        <f>TEXT(WEEKDAY(DATE(CalendarYear,6,21),1),"aaa")</f>
        <v>#REF!</v>
      </c>
      <c r="W3" s="22" t="e">
        <f>TEXT(WEEKDAY(DATE(CalendarYear,6,22),1),"aaa")</f>
        <v>#REF!</v>
      </c>
      <c r="X3" s="22" t="e">
        <f>TEXT(WEEKDAY(DATE(CalendarYear,6,23),1),"aaa")</f>
        <v>#REF!</v>
      </c>
      <c r="Y3" s="22" t="e">
        <f>TEXT(WEEKDAY(DATE(CalendarYear,6,24),1),"aaa")</f>
        <v>#REF!</v>
      </c>
      <c r="Z3" s="22" t="e">
        <f>TEXT(WEEKDAY(DATE(CalendarYear,6,25),1),"aaa")</f>
        <v>#REF!</v>
      </c>
      <c r="AA3" s="22" t="e">
        <f>TEXT(WEEKDAY(DATE(CalendarYear,6,26),1),"aaa")</f>
        <v>#REF!</v>
      </c>
      <c r="AB3" s="22" t="e">
        <f>TEXT(WEEKDAY(DATE(CalendarYear,6,27),1),"aaa")</f>
        <v>#REF!</v>
      </c>
      <c r="AC3" s="22" t="e">
        <f>TEXT(WEEKDAY(DATE(CalendarYear,6,28),1),"aaa")</f>
        <v>#REF!</v>
      </c>
      <c r="AD3" s="22" t="e">
        <f>TEXT(WEEKDAY(DATE(CalendarYear,6,29),1),"aaa")</f>
        <v>#REF!</v>
      </c>
      <c r="AE3" s="22" t="e">
        <f>TEXT(WEEKDAY(DATE(CalendarYear,6,30),1),"aaa")</f>
        <v>#REF!</v>
      </c>
      <c r="AF3" s="22"/>
      <c r="AG3" s="35"/>
    </row>
    <row r="4" spans="1:34" s="6" customFormat="1" x14ac:dyDescent="0.25">
      <c r="A4" s="32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1" t="s">
        <v>7</v>
      </c>
      <c r="G4" s="31" t="s">
        <v>8</v>
      </c>
      <c r="H4" s="31" t="s">
        <v>9</v>
      </c>
      <c r="I4" s="31" t="s">
        <v>10</v>
      </c>
      <c r="J4" s="31" t="s">
        <v>11</v>
      </c>
      <c r="K4" s="31" t="s">
        <v>12</v>
      </c>
      <c r="L4" s="31" t="s">
        <v>13</v>
      </c>
      <c r="M4" s="31" t="s">
        <v>14</v>
      </c>
      <c r="N4" s="31" t="s">
        <v>15</v>
      </c>
      <c r="O4" s="31" t="s">
        <v>16</v>
      </c>
      <c r="P4" s="31" t="s">
        <v>17</v>
      </c>
      <c r="Q4" s="31" t="s">
        <v>18</v>
      </c>
      <c r="R4" s="31" t="s">
        <v>19</v>
      </c>
      <c r="S4" s="31" t="s">
        <v>20</v>
      </c>
      <c r="T4" s="31" t="s">
        <v>21</v>
      </c>
      <c r="U4" s="31" t="s">
        <v>22</v>
      </c>
      <c r="V4" s="31" t="s">
        <v>23</v>
      </c>
      <c r="W4" s="31" t="s">
        <v>24</v>
      </c>
      <c r="X4" s="31" t="s">
        <v>25</v>
      </c>
      <c r="Y4" s="31" t="s">
        <v>26</v>
      </c>
      <c r="Z4" s="31" t="s">
        <v>27</v>
      </c>
      <c r="AA4" s="31" t="s">
        <v>28</v>
      </c>
      <c r="AB4" s="31" t="s">
        <v>29</v>
      </c>
      <c r="AC4" s="31" t="s">
        <v>30</v>
      </c>
      <c r="AD4" s="10" t="s">
        <v>31</v>
      </c>
      <c r="AE4" s="31" t="s">
        <v>32</v>
      </c>
      <c r="AF4" s="31" t="s">
        <v>37</v>
      </c>
      <c r="AG4" s="31" t="s">
        <v>34</v>
      </c>
      <c r="AH4" s="5"/>
    </row>
    <row r="5" spans="1:34" s="6" customFormat="1" x14ac:dyDescent="0.25">
      <c r="A5" s="30" t="s">
        <v>51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4">
        <f>COUNTA(tblJune[[#This Row],[1]:[29]])</f>
        <v>0</v>
      </c>
      <c r="AH5" s="5"/>
    </row>
    <row r="6" spans="1:34" s="6" customFormat="1" x14ac:dyDescent="0.25">
      <c r="A6" s="30" t="s">
        <v>52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4">
        <f>COUNTA(tblJune[[#This Row],[1]:[29]])</f>
        <v>0</v>
      </c>
      <c r="AH6" s="5"/>
    </row>
    <row r="7" spans="1:34" ht="15" customHeight="1" x14ac:dyDescent="0.25">
      <c r="A7" s="30" t="s">
        <v>53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4">
        <f>COUNTA(tblJune[[#This Row],[1]:[29]])</f>
        <v>0</v>
      </c>
    </row>
    <row r="8" spans="1:34" ht="15" customHeight="1" x14ac:dyDescent="0.25">
      <c r="A8" s="30" t="s">
        <v>54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4">
        <f>COUNTA(tblJune[[#This Row],[1]:[29]])</f>
        <v>0</v>
      </c>
    </row>
    <row r="9" spans="1:34" s="8" customFormat="1" ht="15" customHeight="1" x14ac:dyDescent="0.25">
      <c r="A9" s="30" t="s">
        <v>55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4">
        <f>COUNTA(tblJune[[#This Row],[1]:[29]])</f>
        <v>0</v>
      </c>
    </row>
    <row r="10" spans="1:34" ht="15" customHeight="1" x14ac:dyDescent="0.25">
      <c r="A10" s="24" t="str">
        <f>MonthName&amp;" Total"</f>
        <v>June Total</v>
      </c>
      <c r="B10" s="4">
        <f>SUBTOTAL(103,tblJune[1])</f>
        <v>0</v>
      </c>
      <c r="C10" s="4">
        <f>SUBTOTAL(103,tblJune[2])</f>
        <v>0</v>
      </c>
      <c r="D10" s="4">
        <f>SUBTOTAL(103,tblJune[3])</f>
        <v>0</v>
      </c>
      <c r="E10" s="4">
        <f>SUBTOTAL(103,tblJune[4])</f>
        <v>0</v>
      </c>
      <c r="F10" s="4">
        <f>SUBTOTAL(103,tblJune[5])</f>
        <v>0</v>
      </c>
      <c r="G10" s="4">
        <f>SUBTOTAL(103,tblJune[6])</f>
        <v>0</v>
      </c>
      <c r="H10" s="4">
        <f>SUBTOTAL(103,tblJune[7])</f>
        <v>0</v>
      </c>
      <c r="I10" s="4">
        <f>SUBTOTAL(103,tblJune[8])</f>
        <v>0</v>
      </c>
      <c r="J10" s="4">
        <f>SUBTOTAL(103,tblJune[9])</f>
        <v>0</v>
      </c>
      <c r="K10" s="4">
        <f>SUBTOTAL(103,tblJune[10])</f>
        <v>0</v>
      </c>
      <c r="L10" s="4">
        <f>SUBTOTAL(103,tblJune[11])</f>
        <v>0</v>
      </c>
      <c r="M10" s="4">
        <f>SUBTOTAL(103,tblJune[12])</f>
        <v>0</v>
      </c>
      <c r="N10" s="4">
        <f>SUBTOTAL(103,tblJune[13])</f>
        <v>0</v>
      </c>
      <c r="O10" s="4">
        <f>SUBTOTAL(103,tblJune[14])</f>
        <v>0</v>
      </c>
      <c r="P10" s="4">
        <f>SUBTOTAL(103,tblJune[15])</f>
        <v>0</v>
      </c>
      <c r="Q10" s="4">
        <f>SUBTOTAL(103,tblJune[16])</f>
        <v>0</v>
      </c>
      <c r="R10" s="4">
        <f>SUBTOTAL(103,tblJune[17])</f>
        <v>0</v>
      </c>
      <c r="S10" s="4">
        <f>SUBTOTAL(103,tblJune[18])</f>
        <v>0</v>
      </c>
      <c r="T10" s="4">
        <f>SUBTOTAL(103,tblJune[19])</f>
        <v>0</v>
      </c>
      <c r="U10" s="4">
        <f>SUBTOTAL(103,tblJune[20])</f>
        <v>0</v>
      </c>
      <c r="V10" s="4">
        <f>SUBTOTAL(103,tblJune[21])</f>
        <v>0</v>
      </c>
      <c r="W10" s="4">
        <f>SUBTOTAL(103,tblJune[22])</f>
        <v>0</v>
      </c>
      <c r="X10" s="4">
        <f>SUBTOTAL(103,tblJune[23])</f>
        <v>0</v>
      </c>
      <c r="Y10" s="4">
        <f>SUBTOTAL(103,tblJune[24])</f>
        <v>0</v>
      </c>
      <c r="Z10" s="4">
        <f>SUBTOTAL(103,tblJune[25])</f>
        <v>0</v>
      </c>
      <c r="AA10" s="4">
        <f>SUBTOTAL(103,tblJune[26])</f>
        <v>0</v>
      </c>
      <c r="AB10" s="4">
        <f>SUBTOTAL(103,tblJune[27])</f>
        <v>0</v>
      </c>
      <c r="AC10" s="4">
        <f>SUBTOTAL(103,tblJune[28])</f>
        <v>0</v>
      </c>
      <c r="AD10" s="4">
        <f>SUBTOTAL(103,tblJune[29])</f>
        <v>0</v>
      </c>
      <c r="AE10" s="4"/>
      <c r="AF10" s="4"/>
      <c r="AG10" s="4">
        <f>SUBTOTAL(109,tblJune[Total Days])</f>
        <v>0</v>
      </c>
    </row>
    <row r="11" spans="1:34" ht="1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</row>
    <row r="12" spans="1:34" ht="15" customHeight="1" x14ac:dyDescent="0.25">
      <c r="A12"/>
      <c r="B12" s="28" t="e">
        <f>#REF!</f>
        <v>#REF!</v>
      </c>
      <c r="C12" s="28"/>
      <c r="D12" s="28"/>
      <c r="E12" s="28"/>
      <c r="F12" s="29"/>
      <c r="G12" s="19" t="e">
        <f>KeyVacation</f>
        <v>#REF!</v>
      </c>
      <c r="H12" s="25" t="e">
        <f>KeyVacationLabel</f>
        <v>#REF!</v>
      </c>
      <c r="I12" s="26"/>
      <c r="J12" s="26"/>
      <c r="K12" s="15" t="e">
        <f>KeyPersonal</f>
        <v>#REF!</v>
      </c>
      <c r="L12" s="25" t="e">
        <f>KeyPersonalLabel</f>
        <v>#REF!</v>
      </c>
      <c r="M12" s="26"/>
      <c r="N12" s="26"/>
      <c r="O12" s="16" t="e">
        <f>KeySick</f>
        <v>#REF!</v>
      </c>
      <c r="P12" s="25" t="e">
        <f>KeySickLabel</f>
        <v>#REF!</v>
      </c>
      <c r="Q12" s="26"/>
      <c r="R12" s="26"/>
      <c r="S12" s="17" t="e">
        <f>KeyCustom1</f>
        <v>#REF!</v>
      </c>
      <c r="T12" s="25" t="e">
        <f>KeyCustom1Label</f>
        <v>#REF!</v>
      </c>
      <c r="U12" s="27"/>
      <c r="V12" s="26"/>
      <c r="W12" s="18" t="e">
        <f>KeyCustom2</f>
        <v>#REF!</v>
      </c>
      <c r="X12" s="25" t="e">
        <f>KeyCustom2Label</f>
        <v>#REF!</v>
      </c>
      <c r="Y12" s="26"/>
      <c r="Z12" s="27"/>
    </row>
  </sheetData>
  <mergeCells count="4">
    <mergeCell ref="A2:A3"/>
    <mergeCell ref="B2:AF2"/>
    <mergeCell ref="AG2:AG3"/>
    <mergeCell ref="A11:AG11"/>
  </mergeCells>
  <conditionalFormatting sqref="B5:AF9">
    <cfRule type="expression" priority="1" stopIfTrue="1">
      <formula>B5=""</formula>
    </cfRule>
  </conditionalFormatting>
  <conditionalFormatting sqref="B5:AF9">
    <cfRule type="expression" dxfId="489" priority="2" stopIfTrue="1">
      <formula>B5=KeyCustom2</formula>
    </cfRule>
    <cfRule type="expression" dxfId="488" priority="3" stopIfTrue="1">
      <formula>B5=KeyCustom1</formula>
    </cfRule>
    <cfRule type="expression" dxfId="487" priority="4" stopIfTrue="1">
      <formula>B5=KeySick</formula>
    </cfRule>
    <cfRule type="expression" dxfId="486" priority="5" stopIfTrue="1">
      <formula>B5=KeyPersonal</formula>
    </cfRule>
    <cfRule type="expression" dxfId="485" priority="6" stopIfTrue="1">
      <formula>B5=KeyVacation</formula>
    </cfRule>
  </conditionalFormatting>
  <conditionalFormatting sqref="AG5:AG9">
    <cfRule type="dataBar" priority="24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{FA2C5745-D9F6-46CB-8A63-694F9E52E516}</x14:id>
        </ext>
      </extLst>
    </cfRule>
  </conditionalFormatting>
  <pageMargins left="0.25" right="0.25" top="0.75" bottom="0.75" header="0.3" footer="0.3"/>
  <pageSetup scale="80" fitToHeight="0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A2C5745-D9F6-46CB-8A63-694F9E52E516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  <pageSetUpPr fitToPage="1"/>
  </sheetPr>
  <dimension ref="A1:AH12"/>
  <sheetViews>
    <sheetView showGridLines="0" zoomScaleNormal="100" workbookViewId="0"/>
  </sheetViews>
  <sheetFormatPr defaultRowHeight="15" customHeight="1" x14ac:dyDescent="0.25"/>
  <cols>
    <col min="1" max="1" width="24.28515625" style="11" customWidth="1"/>
    <col min="2" max="32" width="4" style="8" customWidth="1"/>
    <col min="33" max="33" width="13.5703125" style="7" customWidth="1"/>
    <col min="34" max="34" width="9.140625" style="8"/>
    <col min="35" max="16384" width="9.140625" style="9"/>
  </cols>
  <sheetData>
    <row r="1" spans="1:34" s="1" customFormat="1" ht="50.25" customHeight="1" x14ac:dyDescent="0.25">
      <c r="A1" s="20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3"/>
      <c r="AD1" s="13"/>
      <c r="AE1" s="14"/>
      <c r="AF1"/>
      <c r="AG1"/>
      <c r="AH1" s="2"/>
    </row>
    <row r="2" spans="1:34" ht="30" customHeight="1" x14ac:dyDescent="0.25">
      <c r="A2" s="34" t="s">
        <v>45</v>
      </c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5" t="e">
        <f>CalendarYear</f>
        <v>#REF!</v>
      </c>
    </row>
    <row r="3" spans="1:34" ht="15.75" customHeight="1" x14ac:dyDescent="0.25">
      <c r="A3" s="34"/>
      <c r="B3" s="21" t="e">
        <f>TEXT(WEEKDAY(DATE(CalendarYear,7,1),1),"aaa")</f>
        <v>#REF!</v>
      </c>
      <c r="C3" s="22" t="e">
        <f>TEXT(WEEKDAY(DATE(CalendarYear,7,2),1),"aaa")</f>
        <v>#REF!</v>
      </c>
      <c r="D3" s="22" t="e">
        <f>TEXT(WEEKDAY(DATE(CalendarYear,7,3),1),"aaa")</f>
        <v>#REF!</v>
      </c>
      <c r="E3" s="22" t="e">
        <f>TEXT(WEEKDAY(DATE(CalendarYear,7,4),1),"aaa")</f>
        <v>#REF!</v>
      </c>
      <c r="F3" s="22" t="e">
        <f>TEXT(WEEKDAY(DATE(CalendarYear,7,5),1),"aaa")</f>
        <v>#REF!</v>
      </c>
      <c r="G3" s="22" t="e">
        <f>TEXT(WEEKDAY(DATE(CalendarYear,7,6),1),"aaa")</f>
        <v>#REF!</v>
      </c>
      <c r="H3" s="22" t="e">
        <f>TEXT(WEEKDAY(DATE(CalendarYear,7,7),1),"aaa")</f>
        <v>#REF!</v>
      </c>
      <c r="I3" s="22" t="e">
        <f>TEXT(WEEKDAY(DATE(CalendarYear,7,8),1),"aaa")</f>
        <v>#REF!</v>
      </c>
      <c r="J3" s="22" t="e">
        <f>TEXT(WEEKDAY(DATE(CalendarYear,7,9),1),"aaa")</f>
        <v>#REF!</v>
      </c>
      <c r="K3" s="22" t="e">
        <f>TEXT(WEEKDAY(DATE(CalendarYear,7,10),1),"aaa")</f>
        <v>#REF!</v>
      </c>
      <c r="L3" s="22" t="e">
        <f>TEXT(WEEKDAY(DATE(CalendarYear,7,11),1),"aaa")</f>
        <v>#REF!</v>
      </c>
      <c r="M3" s="22" t="e">
        <f>TEXT(WEEKDAY(DATE(CalendarYear,7,12),1),"aaa")</f>
        <v>#REF!</v>
      </c>
      <c r="N3" s="22" t="e">
        <f>TEXT(WEEKDAY(DATE(CalendarYear,7,13),1),"aaa")</f>
        <v>#REF!</v>
      </c>
      <c r="O3" s="22" t="e">
        <f>TEXT(WEEKDAY(DATE(CalendarYear,7,14),1),"aaa")</f>
        <v>#REF!</v>
      </c>
      <c r="P3" s="22" t="e">
        <f>TEXT(WEEKDAY(DATE(CalendarYear,7,15),1),"aaa")</f>
        <v>#REF!</v>
      </c>
      <c r="Q3" s="22" t="e">
        <f>TEXT(WEEKDAY(DATE(CalendarYear,7,16),1),"aaa")</f>
        <v>#REF!</v>
      </c>
      <c r="R3" s="22" t="e">
        <f>TEXT(WEEKDAY(DATE(CalendarYear,7,17),1),"aaa")</f>
        <v>#REF!</v>
      </c>
      <c r="S3" s="22" t="e">
        <f>TEXT(WEEKDAY(DATE(CalendarYear,7,18),1),"aaa")</f>
        <v>#REF!</v>
      </c>
      <c r="T3" s="22" t="e">
        <f>TEXT(WEEKDAY(DATE(CalendarYear,7,19),1),"aaa")</f>
        <v>#REF!</v>
      </c>
      <c r="U3" s="22" t="e">
        <f>TEXT(WEEKDAY(DATE(CalendarYear,7,20),1),"aaa")</f>
        <v>#REF!</v>
      </c>
      <c r="V3" s="22" t="e">
        <f>TEXT(WEEKDAY(DATE(CalendarYear,7,21),1),"aaa")</f>
        <v>#REF!</v>
      </c>
      <c r="W3" s="22" t="e">
        <f>TEXT(WEEKDAY(DATE(CalendarYear,7,22),1),"aaa")</f>
        <v>#REF!</v>
      </c>
      <c r="X3" s="22" t="e">
        <f>TEXT(WEEKDAY(DATE(CalendarYear,7,23),1),"aaa")</f>
        <v>#REF!</v>
      </c>
      <c r="Y3" s="22" t="e">
        <f>TEXT(WEEKDAY(DATE(CalendarYear,7,24),1),"aaa")</f>
        <v>#REF!</v>
      </c>
      <c r="Z3" s="22" t="e">
        <f>TEXT(WEEKDAY(DATE(CalendarYear,7,25),1),"aaa")</f>
        <v>#REF!</v>
      </c>
      <c r="AA3" s="22" t="e">
        <f>TEXT(WEEKDAY(DATE(CalendarYear,7,26),1),"aaa")</f>
        <v>#REF!</v>
      </c>
      <c r="AB3" s="22" t="e">
        <f>TEXT(WEEKDAY(DATE(CalendarYear,7,27),1),"aaa")</f>
        <v>#REF!</v>
      </c>
      <c r="AC3" s="22" t="e">
        <f>TEXT(WEEKDAY(DATE(CalendarYear,7,28),1),"aaa")</f>
        <v>#REF!</v>
      </c>
      <c r="AD3" s="22" t="e">
        <f>TEXT(WEEKDAY(DATE(CalendarYear,7,29),1),"aaa")</f>
        <v>#REF!</v>
      </c>
      <c r="AE3" s="22" t="e">
        <f>TEXT(WEEKDAY(DATE(CalendarYear,7,30),1),"aaa")</f>
        <v>#REF!</v>
      </c>
      <c r="AF3" s="22" t="e">
        <f>TEXT(WEEKDAY(DATE(CalendarYear,7,31),1),"aaa")</f>
        <v>#REF!</v>
      </c>
      <c r="AG3" s="35"/>
    </row>
    <row r="4" spans="1:34" s="6" customFormat="1" x14ac:dyDescent="0.25">
      <c r="A4" s="32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1" t="s">
        <v>7</v>
      </c>
      <c r="G4" s="31" t="s">
        <v>8</v>
      </c>
      <c r="H4" s="31" t="s">
        <v>9</v>
      </c>
      <c r="I4" s="31" t="s">
        <v>10</v>
      </c>
      <c r="J4" s="31" t="s">
        <v>11</v>
      </c>
      <c r="K4" s="31" t="s">
        <v>12</v>
      </c>
      <c r="L4" s="31" t="s">
        <v>13</v>
      </c>
      <c r="M4" s="31" t="s">
        <v>14</v>
      </c>
      <c r="N4" s="31" t="s">
        <v>15</v>
      </c>
      <c r="O4" s="31" t="s">
        <v>16</v>
      </c>
      <c r="P4" s="31" t="s">
        <v>17</v>
      </c>
      <c r="Q4" s="31" t="s">
        <v>18</v>
      </c>
      <c r="R4" s="31" t="s">
        <v>19</v>
      </c>
      <c r="S4" s="31" t="s">
        <v>20</v>
      </c>
      <c r="T4" s="31" t="s">
        <v>21</v>
      </c>
      <c r="U4" s="31" t="s">
        <v>22</v>
      </c>
      <c r="V4" s="31" t="s">
        <v>23</v>
      </c>
      <c r="W4" s="31" t="s">
        <v>24</v>
      </c>
      <c r="X4" s="31" t="s">
        <v>25</v>
      </c>
      <c r="Y4" s="31" t="s">
        <v>26</v>
      </c>
      <c r="Z4" s="31" t="s">
        <v>27</v>
      </c>
      <c r="AA4" s="31" t="s">
        <v>28</v>
      </c>
      <c r="AB4" s="31" t="s">
        <v>29</v>
      </c>
      <c r="AC4" s="31" t="s">
        <v>30</v>
      </c>
      <c r="AD4" s="10" t="s">
        <v>31</v>
      </c>
      <c r="AE4" s="31" t="s">
        <v>32</v>
      </c>
      <c r="AF4" s="31" t="s">
        <v>33</v>
      </c>
      <c r="AG4" s="31" t="s">
        <v>34</v>
      </c>
      <c r="AH4" s="5"/>
    </row>
    <row r="5" spans="1:34" s="6" customFormat="1" x14ac:dyDescent="0.25">
      <c r="A5" s="30" t="s">
        <v>51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4">
        <f>COUNTA(tblJuly[[#This Row],[1]:[29]])</f>
        <v>0</v>
      </c>
      <c r="AH5" s="5"/>
    </row>
    <row r="6" spans="1:34" s="6" customFormat="1" x14ac:dyDescent="0.25">
      <c r="A6" s="30" t="s">
        <v>52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4">
        <f>COUNTA(tblJuly[[#This Row],[1]:[29]])</f>
        <v>0</v>
      </c>
      <c r="AH6" s="5"/>
    </row>
    <row r="7" spans="1:34" ht="15" customHeight="1" x14ac:dyDescent="0.25">
      <c r="A7" s="30" t="s">
        <v>53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4">
        <f>COUNTA(tblJuly[[#This Row],[1]:[29]])</f>
        <v>0</v>
      </c>
    </row>
    <row r="8" spans="1:34" ht="15" customHeight="1" x14ac:dyDescent="0.25">
      <c r="A8" s="30" t="s">
        <v>54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4">
        <f>COUNTA(tblJuly[[#This Row],[1]:[29]])</f>
        <v>0</v>
      </c>
    </row>
    <row r="9" spans="1:34" s="8" customFormat="1" ht="15" customHeight="1" x14ac:dyDescent="0.25">
      <c r="A9" s="30" t="s">
        <v>55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4">
        <f>COUNTA(tblJuly[[#This Row],[1]:[29]])</f>
        <v>0</v>
      </c>
    </row>
    <row r="10" spans="1:34" ht="15" customHeight="1" x14ac:dyDescent="0.25">
      <c r="A10" s="24" t="str">
        <f>MonthName&amp;" Total"</f>
        <v>July Total</v>
      </c>
      <c r="B10" s="4">
        <f>SUBTOTAL(103,tblJuly[1])</f>
        <v>0</v>
      </c>
      <c r="C10" s="4">
        <f>SUBTOTAL(103,tblJuly[2])</f>
        <v>0</v>
      </c>
      <c r="D10" s="4">
        <f>SUBTOTAL(103,tblJuly[3])</f>
        <v>0</v>
      </c>
      <c r="E10" s="4">
        <f>SUBTOTAL(103,tblJuly[4])</f>
        <v>0</v>
      </c>
      <c r="F10" s="4">
        <f>SUBTOTAL(103,tblJuly[5])</f>
        <v>0</v>
      </c>
      <c r="G10" s="4">
        <f>SUBTOTAL(103,tblJuly[6])</f>
        <v>0</v>
      </c>
      <c r="H10" s="4">
        <f>SUBTOTAL(103,tblJuly[7])</f>
        <v>0</v>
      </c>
      <c r="I10" s="4">
        <f>SUBTOTAL(103,tblJuly[8])</f>
        <v>0</v>
      </c>
      <c r="J10" s="4">
        <f>SUBTOTAL(103,tblJuly[9])</f>
        <v>0</v>
      </c>
      <c r="K10" s="4">
        <f>SUBTOTAL(103,tblJuly[10])</f>
        <v>0</v>
      </c>
      <c r="L10" s="4">
        <f>SUBTOTAL(103,tblJuly[11])</f>
        <v>0</v>
      </c>
      <c r="M10" s="4">
        <f>SUBTOTAL(103,tblJuly[12])</f>
        <v>0</v>
      </c>
      <c r="N10" s="4">
        <f>SUBTOTAL(103,tblJuly[13])</f>
        <v>0</v>
      </c>
      <c r="O10" s="4">
        <f>SUBTOTAL(103,tblJuly[14])</f>
        <v>0</v>
      </c>
      <c r="P10" s="4">
        <f>SUBTOTAL(103,tblJuly[15])</f>
        <v>0</v>
      </c>
      <c r="Q10" s="4">
        <f>SUBTOTAL(103,tblJuly[16])</f>
        <v>0</v>
      </c>
      <c r="R10" s="4">
        <f>SUBTOTAL(103,tblJuly[17])</f>
        <v>0</v>
      </c>
      <c r="S10" s="4">
        <f>SUBTOTAL(103,tblJuly[18])</f>
        <v>0</v>
      </c>
      <c r="T10" s="4">
        <f>SUBTOTAL(103,tblJuly[19])</f>
        <v>0</v>
      </c>
      <c r="U10" s="4">
        <f>SUBTOTAL(103,tblJuly[20])</f>
        <v>0</v>
      </c>
      <c r="V10" s="4">
        <f>SUBTOTAL(103,tblJuly[21])</f>
        <v>0</v>
      </c>
      <c r="W10" s="4">
        <f>SUBTOTAL(103,tblJuly[22])</f>
        <v>0</v>
      </c>
      <c r="X10" s="4">
        <f>SUBTOTAL(103,tblJuly[23])</f>
        <v>0</v>
      </c>
      <c r="Y10" s="4">
        <f>SUBTOTAL(103,tblJuly[24])</f>
        <v>0</v>
      </c>
      <c r="Z10" s="4">
        <f>SUBTOTAL(103,tblJuly[25])</f>
        <v>0</v>
      </c>
      <c r="AA10" s="4">
        <f>SUBTOTAL(103,tblJuly[26])</f>
        <v>0</v>
      </c>
      <c r="AB10" s="4">
        <f>SUBTOTAL(103,tblJuly[27])</f>
        <v>0</v>
      </c>
      <c r="AC10" s="4">
        <f>SUBTOTAL(103,tblJuly[28])</f>
        <v>0</v>
      </c>
      <c r="AD10" s="4">
        <f>SUBTOTAL(103,tblJuly[29])</f>
        <v>0</v>
      </c>
      <c r="AE10" s="4"/>
      <c r="AF10" s="4"/>
      <c r="AG10" s="4">
        <f>SUBTOTAL(109,tblJuly[Total Days])</f>
        <v>0</v>
      </c>
    </row>
    <row r="11" spans="1:34" ht="1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</row>
    <row r="12" spans="1:34" ht="15" customHeight="1" x14ac:dyDescent="0.25">
      <c r="A12"/>
      <c r="B12" s="28" t="e">
        <f>#REF!</f>
        <v>#REF!</v>
      </c>
      <c r="C12" s="28"/>
      <c r="D12" s="28"/>
      <c r="E12" s="28"/>
      <c r="F12" s="29"/>
      <c r="G12" s="19" t="e">
        <f>KeyVacation</f>
        <v>#REF!</v>
      </c>
      <c r="H12" s="25" t="e">
        <f>KeyVacationLabel</f>
        <v>#REF!</v>
      </c>
      <c r="I12" s="26"/>
      <c r="J12" s="26"/>
      <c r="K12" s="15" t="e">
        <f>KeyPersonal</f>
        <v>#REF!</v>
      </c>
      <c r="L12" s="25" t="e">
        <f>KeyPersonalLabel</f>
        <v>#REF!</v>
      </c>
      <c r="M12" s="26"/>
      <c r="N12" s="26"/>
      <c r="O12" s="16" t="e">
        <f>KeySick</f>
        <v>#REF!</v>
      </c>
      <c r="P12" s="25" t="e">
        <f>KeySickLabel</f>
        <v>#REF!</v>
      </c>
      <c r="Q12" s="26"/>
      <c r="R12" s="26"/>
      <c r="S12" s="17" t="e">
        <f>KeyCustom1</f>
        <v>#REF!</v>
      </c>
      <c r="T12" s="25" t="e">
        <f>KeyCustom1Label</f>
        <v>#REF!</v>
      </c>
      <c r="U12" s="27"/>
      <c r="V12" s="26"/>
      <c r="W12" s="18" t="e">
        <f>KeyCustom2</f>
        <v>#REF!</v>
      </c>
      <c r="X12" s="25" t="e">
        <f>KeyCustom2Label</f>
        <v>#REF!</v>
      </c>
      <c r="Y12" s="26"/>
      <c r="Z12" s="27"/>
    </row>
  </sheetData>
  <mergeCells count="4">
    <mergeCell ref="A2:A3"/>
    <mergeCell ref="B2:AF2"/>
    <mergeCell ref="AG2:AG3"/>
    <mergeCell ref="A11:AG11"/>
  </mergeCells>
  <conditionalFormatting sqref="B5:AF9">
    <cfRule type="expression" priority="1" stopIfTrue="1">
      <formula>B5=""</formula>
    </cfRule>
  </conditionalFormatting>
  <conditionalFormatting sqref="B5:AF9">
    <cfRule type="expression" dxfId="419" priority="2" stopIfTrue="1">
      <formula>B5=KeyCustom2</formula>
    </cfRule>
    <cfRule type="expression" dxfId="418" priority="3" stopIfTrue="1">
      <formula>B5=KeyCustom1</formula>
    </cfRule>
    <cfRule type="expression" dxfId="417" priority="4" stopIfTrue="1">
      <formula>B5=KeySick</formula>
    </cfRule>
    <cfRule type="expression" dxfId="416" priority="5" stopIfTrue="1">
      <formula>B5=KeyPersonal</formula>
    </cfRule>
    <cfRule type="expression" dxfId="415" priority="6" stopIfTrue="1">
      <formula>B5=KeyVacation</formula>
    </cfRule>
  </conditionalFormatting>
  <conditionalFormatting sqref="AG5:AG9">
    <cfRule type="dataBar" priority="25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{15FE6D65-ECEC-46F2-A3C1-0385AFBC7710}</x14:id>
        </ext>
      </extLst>
    </cfRule>
  </conditionalFormatting>
  <pageMargins left="0.25" right="0.25" top="0.75" bottom="0.75" header="0.3" footer="0.3"/>
  <pageSetup scale="80" fitToHeight="0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5FE6D65-ECEC-46F2-A3C1-0385AFBC771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AH12"/>
  <sheetViews>
    <sheetView showGridLines="0" zoomScaleNormal="100" workbookViewId="0"/>
  </sheetViews>
  <sheetFormatPr defaultRowHeight="15" customHeight="1" x14ac:dyDescent="0.25"/>
  <cols>
    <col min="1" max="1" width="24.28515625" style="11" customWidth="1"/>
    <col min="2" max="32" width="4" style="8" customWidth="1"/>
    <col min="33" max="33" width="13.5703125" style="7" customWidth="1"/>
    <col min="34" max="34" width="9.140625" style="8"/>
    <col min="35" max="16384" width="9.140625" style="9"/>
  </cols>
  <sheetData>
    <row r="1" spans="1:34" s="1" customFormat="1" ht="50.25" customHeight="1" x14ac:dyDescent="0.25">
      <c r="A1" s="20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3"/>
      <c r="AD1" s="13"/>
      <c r="AE1" s="14"/>
      <c r="AF1"/>
      <c r="AG1"/>
      <c r="AH1" s="2"/>
    </row>
    <row r="2" spans="1:34" ht="30" customHeight="1" x14ac:dyDescent="0.25">
      <c r="A2" s="34" t="s">
        <v>46</v>
      </c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5" t="e">
        <f>CalendarYear</f>
        <v>#REF!</v>
      </c>
    </row>
    <row r="3" spans="1:34" ht="15.75" customHeight="1" x14ac:dyDescent="0.25">
      <c r="A3" s="34"/>
      <c r="B3" s="21" t="e">
        <f>TEXT(WEEKDAY(DATE(CalendarYear,8,1),1),"aaa")</f>
        <v>#REF!</v>
      </c>
      <c r="C3" s="22" t="e">
        <f>TEXT(WEEKDAY(DATE(CalendarYear,8,2),1),"aaa")</f>
        <v>#REF!</v>
      </c>
      <c r="D3" s="22" t="e">
        <f>TEXT(WEEKDAY(DATE(CalendarYear,8,3),1),"aaa")</f>
        <v>#REF!</v>
      </c>
      <c r="E3" s="22" t="e">
        <f>TEXT(WEEKDAY(DATE(CalendarYear,8,4),1),"aaa")</f>
        <v>#REF!</v>
      </c>
      <c r="F3" s="22" t="e">
        <f>TEXT(WEEKDAY(DATE(CalendarYear,8,5),1),"aaa")</f>
        <v>#REF!</v>
      </c>
      <c r="G3" s="22" t="e">
        <f>TEXT(WEEKDAY(DATE(CalendarYear,8,6),1),"aaa")</f>
        <v>#REF!</v>
      </c>
      <c r="H3" s="22" t="e">
        <f>TEXT(WEEKDAY(DATE(CalendarYear,8,7),1),"aaa")</f>
        <v>#REF!</v>
      </c>
      <c r="I3" s="22" t="e">
        <f>TEXT(WEEKDAY(DATE(CalendarYear,8,8),1),"aaa")</f>
        <v>#REF!</v>
      </c>
      <c r="J3" s="22" t="e">
        <f>TEXT(WEEKDAY(DATE(CalendarYear,8,9),1),"aaa")</f>
        <v>#REF!</v>
      </c>
      <c r="K3" s="22" t="e">
        <f>TEXT(WEEKDAY(DATE(CalendarYear,8,10),1),"aaa")</f>
        <v>#REF!</v>
      </c>
      <c r="L3" s="22" t="e">
        <f>TEXT(WEEKDAY(DATE(CalendarYear,8,11),1),"aaa")</f>
        <v>#REF!</v>
      </c>
      <c r="M3" s="22" t="e">
        <f>TEXT(WEEKDAY(DATE(CalendarYear,8,12),1),"aaa")</f>
        <v>#REF!</v>
      </c>
      <c r="N3" s="22" t="e">
        <f>TEXT(WEEKDAY(DATE(CalendarYear,8,13),1),"aaa")</f>
        <v>#REF!</v>
      </c>
      <c r="O3" s="22" t="e">
        <f>TEXT(WEEKDAY(DATE(CalendarYear,8,14),1),"aaa")</f>
        <v>#REF!</v>
      </c>
      <c r="P3" s="22" t="e">
        <f>TEXT(WEEKDAY(DATE(CalendarYear,8,15),1),"aaa")</f>
        <v>#REF!</v>
      </c>
      <c r="Q3" s="22" t="e">
        <f>TEXT(WEEKDAY(DATE(CalendarYear,8,16),1),"aaa")</f>
        <v>#REF!</v>
      </c>
      <c r="R3" s="22" t="e">
        <f>TEXT(WEEKDAY(DATE(CalendarYear,8,17),1),"aaa")</f>
        <v>#REF!</v>
      </c>
      <c r="S3" s="22" t="e">
        <f>TEXT(WEEKDAY(DATE(CalendarYear,8,18),1),"aaa")</f>
        <v>#REF!</v>
      </c>
      <c r="T3" s="22" t="e">
        <f>TEXT(WEEKDAY(DATE(CalendarYear,8,19),1),"aaa")</f>
        <v>#REF!</v>
      </c>
      <c r="U3" s="22" t="e">
        <f>TEXT(WEEKDAY(DATE(CalendarYear,8,20),1),"aaa")</f>
        <v>#REF!</v>
      </c>
      <c r="V3" s="22" t="e">
        <f>TEXT(WEEKDAY(DATE(CalendarYear,8,21),1),"aaa")</f>
        <v>#REF!</v>
      </c>
      <c r="W3" s="22" t="e">
        <f>TEXT(WEEKDAY(DATE(CalendarYear,8,22),1),"aaa")</f>
        <v>#REF!</v>
      </c>
      <c r="X3" s="22" t="e">
        <f>TEXT(WEEKDAY(DATE(CalendarYear,8,23),1),"aaa")</f>
        <v>#REF!</v>
      </c>
      <c r="Y3" s="22" t="e">
        <f>TEXT(WEEKDAY(DATE(CalendarYear,8,24),1),"aaa")</f>
        <v>#REF!</v>
      </c>
      <c r="Z3" s="22" t="e">
        <f>TEXT(WEEKDAY(DATE(CalendarYear,8,25),1),"aaa")</f>
        <v>#REF!</v>
      </c>
      <c r="AA3" s="22" t="e">
        <f>TEXT(WEEKDAY(DATE(CalendarYear,8,26),1),"aaa")</f>
        <v>#REF!</v>
      </c>
      <c r="AB3" s="22" t="e">
        <f>TEXT(WEEKDAY(DATE(CalendarYear,8,27),1),"aaa")</f>
        <v>#REF!</v>
      </c>
      <c r="AC3" s="22" t="e">
        <f>TEXT(WEEKDAY(DATE(CalendarYear,8,28),1),"aaa")</f>
        <v>#REF!</v>
      </c>
      <c r="AD3" s="22" t="e">
        <f>TEXT(WEEKDAY(DATE(CalendarYear,8,29),1),"aaa")</f>
        <v>#REF!</v>
      </c>
      <c r="AE3" s="22" t="e">
        <f>TEXT(WEEKDAY(DATE(CalendarYear,8,30),1),"aaa")</f>
        <v>#REF!</v>
      </c>
      <c r="AF3" s="22" t="e">
        <f>TEXT(WEEKDAY(DATE(CalendarYear,8,31),1),"aaa")</f>
        <v>#REF!</v>
      </c>
      <c r="AG3" s="35"/>
    </row>
    <row r="4" spans="1:34" s="6" customFormat="1" x14ac:dyDescent="0.25">
      <c r="A4" s="32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1" t="s">
        <v>7</v>
      </c>
      <c r="G4" s="31" t="s">
        <v>8</v>
      </c>
      <c r="H4" s="31" t="s">
        <v>9</v>
      </c>
      <c r="I4" s="31" t="s">
        <v>10</v>
      </c>
      <c r="J4" s="31" t="s">
        <v>11</v>
      </c>
      <c r="K4" s="31" t="s">
        <v>12</v>
      </c>
      <c r="L4" s="31" t="s">
        <v>13</v>
      </c>
      <c r="M4" s="31" t="s">
        <v>14</v>
      </c>
      <c r="N4" s="31" t="s">
        <v>15</v>
      </c>
      <c r="O4" s="31" t="s">
        <v>16</v>
      </c>
      <c r="P4" s="31" t="s">
        <v>17</v>
      </c>
      <c r="Q4" s="31" t="s">
        <v>18</v>
      </c>
      <c r="R4" s="31" t="s">
        <v>19</v>
      </c>
      <c r="S4" s="31" t="s">
        <v>20</v>
      </c>
      <c r="T4" s="31" t="s">
        <v>21</v>
      </c>
      <c r="U4" s="31" t="s">
        <v>22</v>
      </c>
      <c r="V4" s="31" t="s">
        <v>23</v>
      </c>
      <c r="W4" s="31" t="s">
        <v>24</v>
      </c>
      <c r="X4" s="31" t="s">
        <v>25</v>
      </c>
      <c r="Y4" s="31" t="s">
        <v>26</v>
      </c>
      <c r="Z4" s="31" t="s">
        <v>27</v>
      </c>
      <c r="AA4" s="31" t="s">
        <v>28</v>
      </c>
      <c r="AB4" s="31" t="s">
        <v>29</v>
      </c>
      <c r="AC4" s="31" t="s">
        <v>30</v>
      </c>
      <c r="AD4" s="10" t="s">
        <v>31</v>
      </c>
      <c r="AE4" s="31" t="s">
        <v>32</v>
      </c>
      <c r="AF4" s="31" t="s">
        <v>33</v>
      </c>
      <c r="AG4" s="31" t="s">
        <v>34</v>
      </c>
      <c r="AH4" s="5"/>
    </row>
    <row r="5" spans="1:34" s="6" customFormat="1" x14ac:dyDescent="0.25">
      <c r="A5" s="30" t="s">
        <v>51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4">
        <f>COUNTA(tblAugust[[#This Row],[1]:[29]])</f>
        <v>0</v>
      </c>
      <c r="AH5" s="5"/>
    </row>
    <row r="6" spans="1:34" s="6" customFormat="1" x14ac:dyDescent="0.25">
      <c r="A6" s="30" t="s">
        <v>52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4">
        <f>COUNTA(tblAugust[[#This Row],[1]:[29]])</f>
        <v>0</v>
      </c>
      <c r="AH6" s="5"/>
    </row>
    <row r="7" spans="1:34" ht="15" customHeight="1" x14ac:dyDescent="0.25">
      <c r="A7" s="30" t="s">
        <v>53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4">
        <f>COUNTA(tblAugust[[#This Row],[1]:[29]])</f>
        <v>0</v>
      </c>
    </row>
    <row r="8" spans="1:34" ht="15" customHeight="1" x14ac:dyDescent="0.25">
      <c r="A8" s="30" t="s">
        <v>54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4">
        <f>COUNTA(tblAugust[[#This Row],[1]:[29]])</f>
        <v>0</v>
      </c>
    </row>
    <row r="9" spans="1:34" s="8" customFormat="1" ht="15" customHeight="1" x14ac:dyDescent="0.25">
      <c r="A9" s="30" t="s">
        <v>55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4">
        <f>COUNTA(tblAugust[[#This Row],[1]:[29]])</f>
        <v>0</v>
      </c>
    </row>
    <row r="10" spans="1:34" ht="15" customHeight="1" x14ac:dyDescent="0.25">
      <c r="A10" s="24" t="str">
        <f>MonthName&amp;" Total"</f>
        <v>August Total</v>
      </c>
      <c r="B10" s="4">
        <f>SUBTOTAL(103,tblAugust[1])</f>
        <v>0</v>
      </c>
      <c r="C10" s="4">
        <f>SUBTOTAL(103,tblAugust[2])</f>
        <v>0</v>
      </c>
      <c r="D10" s="4">
        <f>SUBTOTAL(103,tblAugust[3])</f>
        <v>0</v>
      </c>
      <c r="E10" s="4">
        <f>SUBTOTAL(103,tblAugust[4])</f>
        <v>0</v>
      </c>
      <c r="F10" s="4">
        <f>SUBTOTAL(103,tblAugust[5])</f>
        <v>0</v>
      </c>
      <c r="G10" s="4">
        <f>SUBTOTAL(103,tblAugust[6])</f>
        <v>0</v>
      </c>
      <c r="H10" s="4">
        <f>SUBTOTAL(103,tblAugust[7])</f>
        <v>0</v>
      </c>
      <c r="I10" s="4">
        <f>SUBTOTAL(103,tblAugust[8])</f>
        <v>0</v>
      </c>
      <c r="J10" s="4">
        <f>SUBTOTAL(103,tblAugust[9])</f>
        <v>0</v>
      </c>
      <c r="K10" s="4">
        <f>SUBTOTAL(103,tblAugust[10])</f>
        <v>0</v>
      </c>
      <c r="L10" s="4">
        <f>SUBTOTAL(103,tblAugust[11])</f>
        <v>0</v>
      </c>
      <c r="M10" s="4">
        <f>SUBTOTAL(103,tblAugust[12])</f>
        <v>0</v>
      </c>
      <c r="N10" s="4">
        <f>SUBTOTAL(103,tblAugust[13])</f>
        <v>0</v>
      </c>
      <c r="O10" s="4">
        <f>SUBTOTAL(103,tblAugust[14])</f>
        <v>0</v>
      </c>
      <c r="P10" s="4">
        <f>SUBTOTAL(103,tblAugust[15])</f>
        <v>0</v>
      </c>
      <c r="Q10" s="4">
        <f>SUBTOTAL(103,tblAugust[16])</f>
        <v>0</v>
      </c>
      <c r="R10" s="4">
        <f>SUBTOTAL(103,tblAugust[17])</f>
        <v>0</v>
      </c>
      <c r="S10" s="4">
        <f>SUBTOTAL(103,tblAugust[18])</f>
        <v>0</v>
      </c>
      <c r="T10" s="4">
        <f>SUBTOTAL(103,tblAugust[19])</f>
        <v>0</v>
      </c>
      <c r="U10" s="4">
        <f>SUBTOTAL(103,tblAugust[20])</f>
        <v>0</v>
      </c>
      <c r="V10" s="4">
        <f>SUBTOTAL(103,tblAugust[21])</f>
        <v>0</v>
      </c>
      <c r="W10" s="4">
        <f>SUBTOTAL(103,tblAugust[22])</f>
        <v>0</v>
      </c>
      <c r="X10" s="4">
        <f>SUBTOTAL(103,tblAugust[23])</f>
        <v>0</v>
      </c>
      <c r="Y10" s="4">
        <f>SUBTOTAL(103,tblAugust[24])</f>
        <v>0</v>
      </c>
      <c r="Z10" s="4">
        <f>SUBTOTAL(103,tblAugust[25])</f>
        <v>0</v>
      </c>
      <c r="AA10" s="4">
        <f>SUBTOTAL(103,tblAugust[26])</f>
        <v>0</v>
      </c>
      <c r="AB10" s="4">
        <f>SUBTOTAL(103,tblAugust[27])</f>
        <v>0</v>
      </c>
      <c r="AC10" s="4">
        <f>SUBTOTAL(103,tblAugust[28])</f>
        <v>0</v>
      </c>
      <c r="AD10" s="4">
        <f>SUBTOTAL(103,tblAugust[29])</f>
        <v>0</v>
      </c>
      <c r="AE10" s="4"/>
      <c r="AF10" s="4"/>
      <c r="AG10" s="4">
        <f>SUBTOTAL(109,tblAugust[Total Days])</f>
        <v>0</v>
      </c>
    </row>
    <row r="11" spans="1:34" ht="1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</row>
    <row r="12" spans="1:34" ht="15" customHeight="1" x14ac:dyDescent="0.25">
      <c r="A12"/>
      <c r="B12" s="28" t="e">
        <f>#REF!</f>
        <v>#REF!</v>
      </c>
      <c r="C12" s="28"/>
      <c r="D12" s="28"/>
      <c r="E12" s="28"/>
      <c r="F12" s="29"/>
      <c r="G12" s="19" t="e">
        <f>KeyVacation</f>
        <v>#REF!</v>
      </c>
      <c r="H12" s="25" t="e">
        <f>KeyVacationLabel</f>
        <v>#REF!</v>
      </c>
      <c r="I12" s="26"/>
      <c r="J12" s="26"/>
      <c r="K12" s="15" t="e">
        <f>KeyPersonal</f>
        <v>#REF!</v>
      </c>
      <c r="L12" s="25" t="e">
        <f>KeyPersonalLabel</f>
        <v>#REF!</v>
      </c>
      <c r="M12" s="26"/>
      <c r="N12" s="26"/>
      <c r="O12" s="16" t="e">
        <f>KeySick</f>
        <v>#REF!</v>
      </c>
      <c r="P12" s="25" t="e">
        <f>KeySickLabel</f>
        <v>#REF!</v>
      </c>
      <c r="Q12" s="26"/>
      <c r="R12" s="26"/>
      <c r="S12" s="17" t="e">
        <f>KeyCustom1</f>
        <v>#REF!</v>
      </c>
      <c r="T12" s="25" t="e">
        <f>KeyCustom1Label</f>
        <v>#REF!</v>
      </c>
      <c r="U12" s="27"/>
      <c r="V12" s="26"/>
      <c r="W12" s="18" t="e">
        <f>KeyCustom2</f>
        <v>#REF!</v>
      </c>
      <c r="X12" s="25" t="e">
        <f>KeyCustom2Label</f>
        <v>#REF!</v>
      </c>
      <c r="Y12" s="26"/>
      <c r="Z12" s="27"/>
    </row>
  </sheetData>
  <mergeCells count="4">
    <mergeCell ref="A2:A3"/>
    <mergeCell ref="B2:AF2"/>
    <mergeCell ref="AG2:AG3"/>
    <mergeCell ref="A11:AG11"/>
  </mergeCells>
  <conditionalFormatting sqref="B5:AF9">
    <cfRule type="expression" priority="1" stopIfTrue="1">
      <formula>B5=""</formula>
    </cfRule>
  </conditionalFormatting>
  <conditionalFormatting sqref="B5:AF9">
    <cfRule type="expression" dxfId="349" priority="2" stopIfTrue="1">
      <formula>B5=KeyCustom2</formula>
    </cfRule>
    <cfRule type="expression" dxfId="348" priority="3" stopIfTrue="1">
      <formula>B5=KeyCustom1</formula>
    </cfRule>
    <cfRule type="expression" dxfId="347" priority="4" stopIfTrue="1">
      <formula>B5=KeySick</formula>
    </cfRule>
    <cfRule type="expression" dxfId="346" priority="5" stopIfTrue="1">
      <formula>B5=KeyPersonal</formula>
    </cfRule>
    <cfRule type="expression" dxfId="345" priority="6" stopIfTrue="1">
      <formula>B5=KeyVacation</formula>
    </cfRule>
  </conditionalFormatting>
  <conditionalFormatting sqref="AG5:AG9">
    <cfRule type="dataBar" priority="26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{FC085EDD-0205-4B5F-B398-CECC5AA8DBEE}</x14:id>
        </ext>
      </extLst>
    </cfRule>
  </conditionalFormatting>
  <pageMargins left="0.25" right="0.25" top="0.75" bottom="0.75" header="0.3" footer="0.3"/>
  <pageSetup scale="80" fitToHeight="0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C085EDD-0205-4B5F-B398-CECC5AA8DBEE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AH12"/>
  <sheetViews>
    <sheetView showGridLines="0" zoomScaleNormal="100" workbookViewId="0"/>
  </sheetViews>
  <sheetFormatPr defaultRowHeight="15" customHeight="1" x14ac:dyDescent="0.25"/>
  <cols>
    <col min="1" max="1" width="24.28515625" style="11" customWidth="1"/>
    <col min="2" max="32" width="4" style="8" customWidth="1"/>
    <col min="33" max="33" width="13.5703125" style="7" customWidth="1"/>
    <col min="34" max="34" width="9.140625" style="8"/>
    <col min="35" max="16384" width="9.140625" style="9"/>
  </cols>
  <sheetData>
    <row r="1" spans="1:34" s="1" customFormat="1" ht="50.25" customHeight="1" x14ac:dyDescent="0.25">
      <c r="A1" s="20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3"/>
      <c r="AD1" s="13"/>
      <c r="AE1" s="14"/>
      <c r="AF1"/>
      <c r="AG1"/>
      <c r="AH1" s="2"/>
    </row>
    <row r="2" spans="1:34" ht="30" customHeight="1" x14ac:dyDescent="0.25">
      <c r="A2" s="34" t="s">
        <v>47</v>
      </c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5" t="e">
        <f>CalendarYear</f>
        <v>#REF!</v>
      </c>
    </row>
    <row r="3" spans="1:34" ht="15.75" customHeight="1" x14ac:dyDescent="0.25">
      <c r="A3" s="34"/>
      <c r="B3" s="21" t="e">
        <f>TEXT(WEEKDAY(DATE(CalendarYear,9,1),1),"aaa")</f>
        <v>#REF!</v>
      </c>
      <c r="C3" s="22" t="e">
        <f>TEXT(WEEKDAY(DATE(CalendarYear,9,2),1),"aaa")</f>
        <v>#REF!</v>
      </c>
      <c r="D3" s="22" t="e">
        <f>TEXT(WEEKDAY(DATE(CalendarYear,9,3),1),"aaa")</f>
        <v>#REF!</v>
      </c>
      <c r="E3" s="22" t="e">
        <f>TEXT(WEEKDAY(DATE(CalendarYear,9,4),1),"aaa")</f>
        <v>#REF!</v>
      </c>
      <c r="F3" s="22" t="e">
        <f>TEXT(WEEKDAY(DATE(CalendarYear,9,5),1),"aaa")</f>
        <v>#REF!</v>
      </c>
      <c r="G3" s="22" t="e">
        <f>TEXT(WEEKDAY(DATE(CalendarYear,9,6),1),"aaa")</f>
        <v>#REF!</v>
      </c>
      <c r="H3" s="22" t="e">
        <f>TEXT(WEEKDAY(DATE(CalendarYear,9,7),1),"aaa")</f>
        <v>#REF!</v>
      </c>
      <c r="I3" s="22" t="e">
        <f>TEXT(WEEKDAY(DATE(CalendarYear,9,8),1),"aaa")</f>
        <v>#REF!</v>
      </c>
      <c r="J3" s="22" t="e">
        <f>TEXT(WEEKDAY(DATE(CalendarYear,9,9),1),"aaa")</f>
        <v>#REF!</v>
      </c>
      <c r="K3" s="22" t="e">
        <f>TEXT(WEEKDAY(DATE(CalendarYear,9,10),1),"aaa")</f>
        <v>#REF!</v>
      </c>
      <c r="L3" s="22" t="e">
        <f>TEXT(WEEKDAY(DATE(CalendarYear,9,11),1),"aaa")</f>
        <v>#REF!</v>
      </c>
      <c r="M3" s="22" t="e">
        <f>TEXT(WEEKDAY(DATE(CalendarYear,9,12),1),"aaa")</f>
        <v>#REF!</v>
      </c>
      <c r="N3" s="22" t="e">
        <f>TEXT(WEEKDAY(DATE(CalendarYear,9,13),1),"aaa")</f>
        <v>#REF!</v>
      </c>
      <c r="O3" s="22" t="e">
        <f>TEXT(WEEKDAY(DATE(CalendarYear,9,14),1),"aaa")</f>
        <v>#REF!</v>
      </c>
      <c r="P3" s="22" t="e">
        <f>TEXT(WEEKDAY(DATE(CalendarYear,9,15),1),"aaa")</f>
        <v>#REF!</v>
      </c>
      <c r="Q3" s="22" t="e">
        <f>TEXT(WEEKDAY(DATE(CalendarYear,9,16),1),"aaa")</f>
        <v>#REF!</v>
      </c>
      <c r="R3" s="22" t="e">
        <f>TEXT(WEEKDAY(DATE(CalendarYear,9,17),1),"aaa")</f>
        <v>#REF!</v>
      </c>
      <c r="S3" s="22" t="e">
        <f>TEXT(WEEKDAY(DATE(CalendarYear,9,18),1),"aaa")</f>
        <v>#REF!</v>
      </c>
      <c r="T3" s="22" t="e">
        <f>TEXT(WEEKDAY(DATE(CalendarYear,9,19),1),"aaa")</f>
        <v>#REF!</v>
      </c>
      <c r="U3" s="22" t="e">
        <f>TEXT(WEEKDAY(DATE(CalendarYear,9,20),1),"aaa")</f>
        <v>#REF!</v>
      </c>
      <c r="V3" s="22" t="e">
        <f>TEXT(WEEKDAY(DATE(CalendarYear,9,21),1),"aaa")</f>
        <v>#REF!</v>
      </c>
      <c r="W3" s="22" t="e">
        <f>TEXT(WEEKDAY(DATE(CalendarYear,9,22),1),"aaa")</f>
        <v>#REF!</v>
      </c>
      <c r="X3" s="22" t="e">
        <f>TEXT(WEEKDAY(DATE(CalendarYear,9,23),1),"aaa")</f>
        <v>#REF!</v>
      </c>
      <c r="Y3" s="22" t="e">
        <f>TEXT(WEEKDAY(DATE(CalendarYear,9,24),1),"aaa")</f>
        <v>#REF!</v>
      </c>
      <c r="Z3" s="22" t="e">
        <f>TEXT(WEEKDAY(DATE(CalendarYear,9,25),1),"aaa")</f>
        <v>#REF!</v>
      </c>
      <c r="AA3" s="22" t="e">
        <f>TEXT(WEEKDAY(DATE(CalendarYear,9,26),1),"aaa")</f>
        <v>#REF!</v>
      </c>
      <c r="AB3" s="22" t="e">
        <f>TEXT(WEEKDAY(DATE(CalendarYear,9,27),1),"aaa")</f>
        <v>#REF!</v>
      </c>
      <c r="AC3" s="22" t="e">
        <f>TEXT(WEEKDAY(DATE(CalendarYear,9,28),1),"aaa")</f>
        <v>#REF!</v>
      </c>
      <c r="AD3" s="22" t="e">
        <f>TEXT(WEEKDAY(DATE(CalendarYear,9,29),1),"aaa")</f>
        <v>#REF!</v>
      </c>
      <c r="AE3" s="22" t="e">
        <f>TEXT(WEEKDAY(DATE(CalendarYear,9,30),1),"aaa")</f>
        <v>#REF!</v>
      </c>
      <c r="AF3" s="22"/>
      <c r="AG3" s="35"/>
    </row>
    <row r="4" spans="1:34" s="6" customFormat="1" x14ac:dyDescent="0.25">
      <c r="A4" s="32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1" t="s">
        <v>7</v>
      </c>
      <c r="G4" s="31" t="s">
        <v>8</v>
      </c>
      <c r="H4" s="31" t="s">
        <v>9</v>
      </c>
      <c r="I4" s="31" t="s">
        <v>10</v>
      </c>
      <c r="J4" s="31" t="s">
        <v>11</v>
      </c>
      <c r="K4" s="31" t="s">
        <v>12</v>
      </c>
      <c r="L4" s="31" t="s">
        <v>13</v>
      </c>
      <c r="M4" s="31" t="s">
        <v>14</v>
      </c>
      <c r="N4" s="31" t="s">
        <v>15</v>
      </c>
      <c r="O4" s="31" t="s">
        <v>16</v>
      </c>
      <c r="P4" s="31" t="s">
        <v>17</v>
      </c>
      <c r="Q4" s="31" t="s">
        <v>18</v>
      </c>
      <c r="R4" s="31" t="s">
        <v>19</v>
      </c>
      <c r="S4" s="31" t="s">
        <v>20</v>
      </c>
      <c r="T4" s="31" t="s">
        <v>21</v>
      </c>
      <c r="U4" s="31" t="s">
        <v>22</v>
      </c>
      <c r="V4" s="31" t="s">
        <v>23</v>
      </c>
      <c r="W4" s="31" t="s">
        <v>24</v>
      </c>
      <c r="X4" s="31" t="s">
        <v>25</v>
      </c>
      <c r="Y4" s="31" t="s">
        <v>26</v>
      </c>
      <c r="Z4" s="31" t="s">
        <v>27</v>
      </c>
      <c r="AA4" s="31" t="s">
        <v>28</v>
      </c>
      <c r="AB4" s="31" t="s">
        <v>29</v>
      </c>
      <c r="AC4" s="31" t="s">
        <v>30</v>
      </c>
      <c r="AD4" s="10" t="s">
        <v>31</v>
      </c>
      <c r="AE4" s="31" t="s">
        <v>32</v>
      </c>
      <c r="AF4" s="31" t="s">
        <v>37</v>
      </c>
      <c r="AG4" s="31" t="s">
        <v>34</v>
      </c>
      <c r="AH4" s="5"/>
    </row>
    <row r="5" spans="1:34" s="6" customFormat="1" x14ac:dyDescent="0.25">
      <c r="A5" s="30" t="s">
        <v>51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4">
        <f>COUNTA(tblSeptember[[#This Row],[1]:[29]])</f>
        <v>0</v>
      </c>
      <c r="AH5" s="5"/>
    </row>
    <row r="6" spans="1:34" s="6" customFormat="1" x14ac:dyDescent="0.25">
      <c r="A6" s="30" t="s">
        <v>52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4">
        <f>COUNTA(tblSeptember[[#This Row],[1]:[29]])</f>
        <v>0</v>
      </c>
      <c r="AH6" s="5"/>
    </row>
    <row r="7" spans="1:34" ht="15" customHeight="1" x14ac:dyDescent="0.25">
      <c r="A7" s="30" t="s">
        <v>53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4">
        <f>COUNTA(tblSeptember[[#This Row],[1]:[29]])</f>
        <v>0</v>
      </c>
    </row>
    <row r="8" spans="1:34" ht="15" customHeight="1" x14ac:dyDescent="0.25">
      <c r="A8" s="30" t="s">
        <v>54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4">
        <f>COUNTA(tblSeptember[[#This Row],[1]:[29]])</f>
        <v>0</v>
      </c>
    </row>
    <row r="9" spans="1:34" s="8" customFormat="1" ht="15" customHeight="1" x14ac:dyDescent="0.25">
      <c r="A9" s="30" t="s">
        <v>55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4">
        <f>COUNTA(tblSeptember[[#This Row],[1]:[29]])</f>
        <v>0</v>
      </c>
    </row>
    <row r="10" spans="1:34" ht="15" customHeight="1" x14ac:dyDescent="0.25">
      <c r="A10" s="24" t="str">
        <f>MonthName&amp;" Total"</f>
        <v>September Total</v>
      </c>
      <c r="B10" s="4">
        <f>SUBTOTAL(103,tblSeptember[1])</f>
        <v>0</v>
      </c>
      <c r="C10" s="4">
        <f>SUBTOTAL(103,tblSeptember[2])</f>
        <v>0</v>
      </c>
      <c r="D10" s="4">
        <f>SUBTOTAL(103,tblSeptember[3])</f>
        <v>0</v>
      </c>
      <c r="E10" s="4">
        <f>SUBTOTAL(103,tblSeptember[4])</f>
        <v>0</v>
      </c>
      <c r="F10" s="4">
        <f>SUBTOTAL(103,tblSeptember[5])</f>
        <v>0</v>
      </c>
      <c r="G10" s="4">
        <f>SUBTOTAL(103,tblSeptember[6])</f>
        <v>0</v>
      </c>
      <c r="H10" s="4">
        <f>SUBTOTAL(103,tblSeptember[7])</f>
        <v>0</v>
      </c>
      <c r="I10" s="4">
        <f>SUBTOTAL(103,tblSeptember[8])</f>
        <v>0</v>
      </c>
      <c r="J10" s="4">
        <f>SUBTOTAL(103,tblSeptember[9])</f>
        <v>0</v>
      </c>
      <c r="K10" s="4">
        <f>SUBTOTAL(103,tblSeptember[10])</f>
        <v>0</v>
      </c>
      <c r="L10" s="4">
        <f>SUBTOTAL(103,tblSeptember[11])</f>
        <v>0</v>
      </c>
      <c r="M10" s="4">
        <f>SUBTOTAL(103,tblSeptember[12])</f>
        <v>0</v>
      </c>
      <c r="N10" s="4">
        <f>SUBTOTAL(103,tblSeptember[13])</f>
        <v>0</v>
      </c>
      <c r="O10" s="4">
        <f>SUBTOTAL(103,tblSeptember[14])</f>
        <v>0</v>
      </c>
      <c r="P10" s="4">
        <f>SUBTOTAL(103,tblSeptember[15])</f>
        <v>0</v>
      </c>
      <c r="Q10" s="4">
        <f>SUBTOTAL(103,tblSeptember[16])</f>
        <v>0</v>
      </c>
      <c r="R10" s="4">
        <f>SUBTOTAL(103,tblSeptember[17])</f>
        <v>0</v>
      </c>
      <c r="S10" s="4">
        <f>SUBTOTAL(103,tblSeptember[18])</f>
        <v>0</v>
      </c>
      <c r="T10" s="4">
        <f>SUBTOTAL(103,tblSeptember[19])</f>
        <v>0</v>
      </c>
      <c r="U10" s="4">
        <f>SUBTOTAL(103,tblSeptember[20])</f>
        <v>0</v>
      </c>
      <c r="V10" s="4">
        <f>SUBTOTAL(103,tblSeptember[21])</f>
        <v>0</v>
      </c>
      <c r="W10" s="4">
        <f>SUBTOTAL(103,tblSeptember[22])</f>
        <v>0</v>
      </c>
      <c r="X10" s="4">
        <f>SUBTOTAL(103,tblSeptember[23])</f>
        <v>0</v>
      </c>
      <c r="Y10" s="4">
        <f>SUBTOTAL(103,tblSeptember[24])</f>
        <v>0</v>
      </c>
      <c r="Z10" s="4">
        <f>SUBTOTAL(103,tblSeptember[25])</f>
        <v>0</v>
      </c>
      <c r="AA10" s="4">
        <f>SUBTOTAL(103,tblSeptember[26])</f>
        <v>0</v>
      </c>
      <c r="AB10" s="4">
        <f>SUBTOTAL(103,tblSeptember[27])</f>
        <v>0</v>
      </c>
      <c r="AC10" s="4">
        <f>SUBTOTAL(103,tblSeptember[28])</f>
        <v>0</v>
      </c>
      <c r="AD10" s="4">
        <f>SUBTOTAL(103,tblSeptember[29])</f>
        <v>0</v>
      </c>
      <c r="AE10" s="4"/>
      <c r="AF10" s="4"/>
      <c r="AG10" s="4">
        <f>SUBTOTAL(109,tblSeptember[Total Days])</f>
        <v>0</v>
      </c>
    </row>
    <row r="11" spans="1:34" ht="1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</row>
    <row r="12" spans="1:34" ht="15" customHeight="1" x14ac:dyDescent="0.25">
      <c r="A12"/>
      <c r="B12" s="28" t="e">
        <f>#REF!</f>
        <v>#REF!</v>
      </c>
      <c r="C12" s="28"/>
      <c r="D12" s="28"/>
      <c r="E12" s="28"/>
      <c r="F12" s="29"/>
      <c r="G12" s="19" t="e">
        <f>KeyVacation</f>
        <v>#REF!</v>
      </c>
      <c r="H12" s="25" t="e">
        <f>KeyVacationLabel</f>
        <v>#REF!</v>
      </c>
      <c r="I12" s="26"/>
      <c r="J12" s="26"/>
      <c r="K12" s="15" t="e">
        <f>KeyPersonal</f>
        <v>#REF!</v>
      </c>
      <c r="L12" s="25" t="e">
        <f>KeyPersonalLabel</f>
        <v>#REF!</v>
      </c>
      <c r="M12" s="26"/>
      <c r="N12" s="26"/>
      <c r="O12" s="16" t="e">
        <f>KeySick</f>
        <v>#REF!</v>
      </c>
      <c r="P12" s="25" t="e">
        <f>KeySickLabel</f>
        <v>#REF!</v>
      </c>
      <c r="Q12" s="26"/>
      <c r="R12" s="26"/>
      <c r="S12" s="17" t="e">
        <f>KeyCustom1</f>
        <v>#REF!</v>
      </c>
      <c r="T12" s="25" t="e">
        <f>KeyCustom1Label</f>
        <v>#REF!</v>
      </c>
      <c r="U12" s="27"/>
      <c r="V12" s="26"/>
      <c r="W12" s="18" t="e">
        <f>KeyCustom2</f>
        <v>#REF!</v>
      </c>
      <c r="X12" s="25" t="e">
        <f>KeyCustom2Label</f>
        <v>#REF!</v>
      </c>
      <c r="Y12" s="26"/>
      <c r="Z12" s="27"/>
    </row>
  </sheetData>
  <mergeCells count="4">
    <mergeCell ref="A2:A3"/>
    <mergeCell ref="B2:AF2"/>
    <mergeCell ref="AG2:AG3"/>
    <mergeCell ref="A11:AG11"/>
  </mergeCells>
  <conditionalFormatting sqref="B5:AF9">
    <cfRule type="expression" priority="1" stopIfTrue="1">
      <formula>B5=""</formula>
    </cfRule>
  </conditionalFormatting>
  <conditionalFormatting sqref="B5:AF9">
    <cfRule type="expression" dxfId="279" priority="2" stopIfTrue="1">
      <formula>B5=KeyCustom2</formula>
    </cfRule>
    <cfRule type="expression" dxfId="278" priority="3" stopIfTrue="1">
      <formula>B5=KeyCustom1</formula>
    </cfRule>
    <cfRule type="expression" dxfId="277" priority="4" stopIfTrue="1">
      <formula>B5=KeySick</formula>
    </cfRule>
    <cfRule type="expression" dxfId="276" priority="5" stopIfTrue="1">
      <formula>B5=KeyPersonal</formula>
    </cfRule>
    <cfRule type="expression" dxfId="275" priority="6" stopIfTrue="1">
      <formula>B5=KeyVacation</formula>
    </cfRule>
  </conditionalFormatting>
  <conditionalFormatting sqref="AG5:AG9">
    <cfRule type="dataBar" priority="2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{1477F465-23A5-4E7F-BDEC-11297175FB9A}</x14:id>
        </ext>
      </extLst>
    </cfRule>
  </conditionalFormatting>
  <pageMargins left="0.25" right="0.25" top="0.75" bottom="0.75" header="0.3" footer="0.3"/>
  <pageSetup scale="80" fitToHeight="0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477F465-23A5-4E7F-BDEC-11297175FB9A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H12"/>
  <sheetViews>
    <sheetView showGridLines="0" zoomScaleNormal="100" workbookViewId="0"/>
  </sheetViews>
  <sheetFormatPr defaultRowHeight="15" customHeight="1" x14ac:dyDescent="0.25"/>
  <cols>
    <col min="1" max="1" width="24.28515625" style="11" customWidth="1"/>
    <col min="2" max="32" width="4" style="8" customWidth="1"/>
    <col min="33" max="33" width="13.5703125" style="7" customWidth="1"/>
    <col min="34" max="34" width="9.140625" style="8"/>
    <col min="35" max="16384" width="9.140625" style="9"/>
  </cols>
  <sheetData>
    <row r="1" spans="1:34" s="1" customFormat="1" ht="50.25" customHeight="1" x14ac:dyDescent="0.25">
      <c r="A1" s="20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3"/>
      <c r="AD1" s="13"/>
      <c r="AE1" s="14"/>
      <c r="AF1"/>
      <c r="AG1"/>
      <c r="AH1" s="2"/>
    </row>
    <row r="2" spans="1:34" ht="30" customHeight="1" x14ac:dyDescent="0.25">
      <c r="A2" s="34" t="s">
        <v>48</v>
      </c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5" t="e">
        <f>CalendarYear</f>
        <v>#REF!</v>
      </c>
    </row>
    <row r="3" spans="1:34" ht="15.75" customHeight="1" x14ac:dyDescent="0.25">
      <c r="A3" s="34"/>
      <c r="B3" s="21" t="e">
        <f>TEXT(WEEKDAY(DATE(CalendarYear,10,1),1),"aaa")</f>
        <v>#REF!</v>
      </c>
      <c r="C3" s="22" t="e">
        <f>TEXT(WEEKDAY(DATE(CalendarYear,10,2),1),"aaa")</f>
        <v>#REF!</v>
      </c>
      <c r="D3" s="22" t="e">
        <f>TEXT(WEEKDAY(DATE(CalendarYear,10,3),1),"aaa")</f>
        <v>#REF!</v>
      </c>
      <c r="E3" s="22" t="e">
        <f>TEXT(WEEKDAY(DATE(CalendarYear,10,4),1),"aaa")</f>
        <v>#REF!</v>
      </c>
      <c r="F3" s="22" t="e">
        <f>TEXT(WEEKDAY(DATE(CalendarYear,10,5),1),"aaa")</f>
        <v>#REF!</v>
      </c>
      <c r="G3" s="22" t="e">
        <f>TEXT(WEEKDAY(DATE(CalendarYear,10,6),1),"aaa")</f>
        <v>#REF!</v>
      </c>
      <c r="H3" s="22" t="e">
        <f>TEXT(WEEKDAY(DATE(CalendarYear,10,7),1),"aaa")</f>
        <v>#REF!</v>
      </c>
      <c r="I3" s="22" t="e">
        <f>TEXT(WEEKDAY(DATE(CalendarYear,10,8),1),"aaa")</f>
        <v>#REF!</v>
      </c>
      <c r="J3" s="22" t="e">
        <f>TEXT(WEEKDAY(DATE(CalendarYear,10,9),1),"aaa")</f>
        <v>#REF!</v>
      </c>
      <c r="K3" s="22" t="e">
        <f>TEXT(WEEKDAY(DATE(CalendarYear,10,10),1),"aaa")</f>
        <v>#REF!</v>
      </c>
      <c r="L3" s="22" t="e">
        <f>TEXT(WEEKDAY(DATE(CalendarYear,10,11),1),"aaa")</f>
        <v>#REF!</v>
      </c>
      <c r="M3" s="22" t="e">
        <f>TEXT(WEEKDAY(DATE(CalendarYear,10,12),1),"aaa")</f>
        <v>#REF!</v>
      </c>
      <c r="N3" s="22" t="e">
        <f>TEXT(WEEKDAY(DATE(CalendarYear,10,13),1),"aaa")</f>
        <v>#REF!</v>
      </c>
      <c r="O3" s="22" t="e">
        <f>TEXT(WEEKDAY(DATE(CalendarYear,10,14),1),"aaa")</f>
        <v>#REF!</v>
      </c>
      <c r="P3" s="22" t="e">
        <f>TEXT(WEEKDAY(DATE(CalendarYear,10,15),1),"aaa")</f>
        <v>#REF!</v>
      </c>
      <c r="Q3" s="22" t="e">
        <f>TEXT(WEEKDAY(DATE(CalendarYear,10,16),1),"aaa")</f>
        <v>#REF!</v>
      </c>
      <c r="R3" s="22" t="e">
        <f>TEXT(WEEKDAY(DATE(CalendarYear,10,17),1),"aaa")</f>
        <v>#REF!</v>
      </c>
      <c r="S3" s="22" t="e">
        <f>TEXT(WEEKDAY(DATE(CalendarYear,10,18),1),"aaa")</f>
        <v>#REF!</v>
      </c>
      <c r="T3" s="22" t="e">
        <f>TEXT(WEEKDAY(DATE(CalendarYear,10,19),1),"aaa")</f>
        <v>#REF!</v>
      </c>
      <c r="U3" s="22" t="e">
        <f>TEXT(WEEKDAY(DATE(CalendarYear,10,20),1),"aaa")</f>
        <v>#REF!</v>
      </c>
      <c r="V3" s="22" t="e">
        <f>TEXT(WEEKDAY(DATE(CalendarYear,10,21),1),"aaa")</f>
        <v>#REF!</v>
      </c>
      <c r="W3" s="22" t="e">
        <f>TEXT(WEEKDAY(DATE(CalendarYear,10,22),1),"aaa")</f>
        <v>#REF!</v>
      </c>
      <c r="X3" s="22" t="e">
        <f>TEXT(WEEKDAY(DATE(CalendarYear,10,23),1),"aaa")</f>
        <v>#REF!</v>
      </c>
      <c r="Y3" s="22" t="e">
        <f>TEXT(WEEKDAY(DATE(CalendarYear,10,24),1),"aaa")</f>
        <v>#REF!</v>
      </c>
      <c r="Z3" s="22" t="e">
        <f>TEXT(WEEKDAY(DATE(CalendarYear,10,25),1),"aaa")</f>
        <v>#REF!</v>
      </c>
      <c r="AA3" s="22" t="e">
        <f>TEXT(WEEKDAY(DATE(CalendarYear,10,26),1),"aaa")</f>
        <v>#REF!</v>
      </c>
      <c r="AB3" s="22" t="e">
        <f>TEXT(WEEKDAY(DATE(CalendarYear,10,27),1),"aaa")</f>
        <v>#REF!</v>
      </c>
      <c r="AC3" s="22" t="e">
        <f>TEXT(WEEKDAY(DATE(CalendarYear,10,28),1),"aaa")</f>
        <v>#REF!</v>
      </c>
      <c r="AD3" s="22" t="e">
        <f>TEXT(WEEKDAY(DATE(CalendarYear,10,29),1),"aaa")</f>
        <v>#REF!</v>
      </c>
      <c r="AE3" s="22" t="e">
        <f>TEXT(WEEKDAY(DATE(CalendarYear,10,30),1),"aaa")</f>
        <v>#REF!</v>
      </c>
      <c r="AF3" s="22" t="e">
        <f>TEXT(WEEKDAY(DATE(CalendarYear,10,31),1),"aaa")</f>
        <v>#REF!</v>
      </c>
      <c r="AG3" s="35"/>
    </row>
    <row r="4" spans="1:34" s="6" customFormat="1" x14ac:dyDescent="0.25">
      <c r="A4" s="32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1" t="s">
        <v>7</v>
      </c>
      <c r="G4" s="31" t="s">
        <v>8</v>
      </c>
      <c r="H4" s="31" t="s">
        <v>9</v>
      </c>
      <c r="I4" s="31" t="s">
        <v>10</v>
      </c>
      <c r="J4" s="31" t="s">
        <v>11</v>
      </c>
      <c r="K4" s="31" t="s">
        <v>12</v>
      </c>
      <c r="L4" s="31" t="s">
        <v>13</v>
      </c>
      <c r="M4" s="31" t="s">
        <v>14</v>
      </c>
      <c r="N4" s="31" t="s">
        <v>15</v>
      </c>
      <c r="O4" s="31" t="s">
        <v>16</v>
      </c>
      <c r="P4" s="31" t="s">
        <v>17</v>
      </c>
      <c r="Q4" s="31" t="s">
        <v>18</v>
      </c>
      <c r="R4" s="31" t="s">
        <v>19</v>
      </c>
      <c r="S4" s="31" t="s">
        <v>20</v>
      </c>
      <c r="T4" s="31" t="s">
        <v>21</v>
      </c>
      <c r="U4" s="31" t="s">
        <v>22</v>
      </c>
      <c r="V4" s="31" t="s">
        <v>23</v>
      </c>
      <c r="W4" s="31" t="s">
        <v>24</v>
      </c>
      <c r="X4" s="31" t="s">
        <v>25</v>
      </c>
      <c r="Y4" s="31" t="s">
        <v>26</v>
      </c>
      <c r="Z4" s="31" t="s">
        <v>27</v>
      </c>
      <c r="AA4" s="31" t="s">
        <v>28</v>
      </c>
      <c r="AB4" s="31" t="s">
        <v>29</v>
      </c>
      <c r="AC4" s="31" t="s">
        <v>30</v>
      </c>
      <c r="AD4" s="10" t="s">
        <v>31</v>
      </c>
      <c r="AE4" s="31" t="s">
        <v>32</v>
      </c>
      <c r="AF4" s="31" t="s">
        <v>33</v>
      </c>
      <c r="AG4" s="31" t="s">
        <v>34</v>
      </c>
      <c r="AH4" s="5"/>
    </row>
    <row r="5" spans="1:34" s="6" customFormat="1" x14ac:dyDescent="0.25">
      <c r="A5" s="30" t="s">
        <v>51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4">
        <f>COUNTA(tblOctober[[#This Row],[1]:[29]])</f>
        <v>0</v>
      </c>
      <c r="AH5" s="5"/>
    </row>
    <row r="6" spans="1:34" s="6" customFormat="1" x14ac:dyDescent="0.25">
      <c r="A6" s="30" t="s">
        <v>52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4">
        <f>COUNTA(tblOctober[[#This Row],[1]:[29]])</f>
        <v>0</v>
      </c>
      <c r="AH6" s="5"/>
    </row>
    <row r="7" spans="1:34" ht="15" customHeight="1" x14ac:dyDescent="0.25">
      <c r="A7" s="30" t="s">
        <v>53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4">
        <f>COUNTA(tblOctober[[#This Row],[1]:[29]])</f>
        <v>0</v>
      </c>
    </row>
    <row r="8" spans="1:34" ht="15" customHeight="1" x14ac:dyDescent="0.25">
      <c r="A8" s="30" t="s">
        <v>54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4">
        <f>COUNTA(tblOctober[[#This Row],[1]:[29]])</f>
        <v>0</v>
      </c>
    </row>
    <row r="9" spans="1:34" s="8" customFormat="1" ht="15" customHeight="1" x14ac:dyDescent="0.25">
      <c r="A9" s="30" t="s">
        <v>55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4">
        <f>COUNTA(tblOctober[[#This Row],[1]:[29]])</f>
        <v>0</v>
      </c>
    </row>
    <row r="10" spans="1:34" ht="15" customHeight="1" x14ac:dyDescent="0.25">
      <c r="A10" s="24" t="str">
        <f>MonthName&amp;" Total"</f>
        <v>October Total</v>
      </c>
      <c r="B10" s="4">
        <f>SUBTOTAL(103,tblOctober[1])</f>
        <v>0</v>
      </c>
      <c r="C10" s="4">
        <f>SUBTOTAL(103,tblOctober[2])</f>
        <v>0</v>
      </c>
      <c r="D10" s="4">
        <f>SUBTOTAL(103,tblOctober[3])</f>
        <v>0</v>
      </c>
      <c r="E10" s="4">
        <f>SUBTOTAL(103,tblOctober[4])</f>
        <v>0</v>
      </c>
      <c r="F10" s="4">
        <f>SUBTOTAL(103,tblOctober[5])</f>
        <v>0</v>
      </c>
      <c r="G10" s="4">
        <f>SUBTOTAL(103,tblOctober[6])</f>
        <v>0</v>
      </c>
      <c r="H10" s="4">
        <f>SUBTOTAL(103,tblOctober[7])</f>
        <v>0</v>
      </c>
      <c r="I10" s="4">
        <f>SUBTOTAL(103,tblOctober[8])</f>
        <v>0</v>
      </c>
      <c r="J10" s="4">
        <f>SUBTOTAL(103,tblOctober[9])</f>
        <v>0</v>
      </c>
      <c r="K10" s="4">
        <f>SUBTOTAL(103,tblOctober[10])</f>
        <v>0</v>
      </c>
      <c r="L10" s="4">
        <f>SUBTOTAL(103,tblOctober[11])</f>
        <v>0</v>
      </c>
      <c r="M10" s="4">
        <f>SUBTOTAL(103,tblOctober[12])</f>
        <v>0</v>
      </c>
      <c r="N10" s="4">
        <f>SUBTOTAL(103,tblOctober[13])</f>
        <v>0</v>
      </c>
      <c r="O10" s="4">
        <f>SUBTOTAL(103,tblOctober[14])</f>
        <v>0</v>
      </c>
      <c r="P10" s="4">
        <f>SUBTOTAL(103,tblOctober[15])</f>
        <v>0</v>
      </c>
      <c r="Q10" s="4">
        <f>SUBTOTAL(103,tblOctober[16])</f>
        <v>0</v>
      </c>
      <c r="R10" s="4">
        <f>SUBTOTAL(103,tblOctober[17])</f>
        <v>0</v>
      </c>
      <c r="S10" s="4">
        <f>SUBTOTAL(103,tblOctober[18])</f>
        <v>0</v>
      </c>
      <c r="T10" s="4">
        <f>SUBTOTAL(103,tblOctober[19])</f>
        <v>0</v>
      </c>
      <c r="U10" s="4">
        <f>SUBTOTAL(103,tblOctober[20])</f>
        <v>0</v>
      </c>
      <c r="V10" s="4">
        <f>SUBTOTAL(103,tblOctober[21])</f>
        <v>0</v>
      </c>
      <c r="W10" s="4">
        <f>SUBTOTAL(103,tblOctober[22])</f>
        <v>0</v>
      </c>
      <c r="X10" s="4">
        <f>SUBTOTAL(103,tblOctober[23])</f>
        <v>0</v>
      </c>
      <c r="Y10" s="4">
        <f>SUBTOTAL(103,tblOctober[24])</f>
        <v>0</v>
      </c>
      <c r="Z10" s="4">
        <f>SUBTOTAL(103,tblOctober[25])</f>
        <v>0</v>
      </c>
      <c r="AA10" s="4">
        <f>SUBTOTAL(103,tblOctober[26])</f>
        <v>0</v>
      </c>
      <c r="AB10" s="4">
        <f>SUBTOTAL(103,tblOctober[27])</f>
        <v>0</v>
      </c>
      <c r="AC10" s="4">
        <f>SUBTOTAL(103,tblOctober[28])</f>
        <v>0</v>
      </c>
      <c r="AD10" s="4">
        <f>SUBTOTAL(103,tblOctober[29])</f>
        <v>0</v>
      </c>
      <c r="AE10" s="4"/>
      <c r="AF10" s="4"/>
      <c r="AG10" s="4">
        <f>SUBTOTAL(109,tblOctober[Total Days])</f>
        <v>0</v>
      </c>
    </row>
    <row r="11" spans="1:34" ht="1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</row>
    <row r="12" spans="1:34" ht="15" customHeight="1" x14ac:dyDescent="0.25">
      <c r="A12"/>
      <c r="B12" s="28" t="e">
        <f>#REF!</f>
        <v>#REF!</v>
      </c>
      <c r="C12" s="28"/>
      <c r="D12" s="28"/>
      <c r="E12" s="28"/>
      <c r="F12" s="29"/>
      <c r="G12" s="19" t="e">
        <f>KeyVacation</f>
        <v>#REF!</v>
      </c>
      <c r="H12" s="25" t="e">
        <f>KeyVacationLabel</f>
        <v>#REF!</v>
      </c>
      <c r="I12" s="26"/>
      <c r="J12" s="26"/>
      <c r="K12" s="15" t="e">
        <f>KeyPersonal</f>
        <v>#REF!</v>
      </c>
      <c r="L12" s="25" t="e">
        <f>KeyPersonalLabel</f>
        <v>#REF!</v>
      </c>
      <c r="M12" s="26"/>
      <c r="N12" s="26"/>
      <c r="O12" s="16" t="e">
        <f>KeySick</f>
        <v>#REF!</v>
      </c>
      <c r="P12" s="25" t="e">
        <f>KeySickLabel</f>
        <v>#REF!</v>
      </c>
      <c r="Q12" s="26"/>
      <c r="R12" s="26"/>
      <c r="S12" s="17" t="e">
        <f>KeyCustom1</f>
        <v>#REF!</v>
      </c>
      <c r="T12" s="25" t="e">
        <f>KeyCustom1Label</f>
        <v>#REF!</v>
      </c>
      <c r="U12" s="27"/>
      <c r="V12" s="26"/>
      <c r="W12" s="18" t="e">
        <f>KeyCustom2</f>
        <v>#REF!</v>
      </c>
      <c r="X12" s="25" t="e">
        <f>KeyCustom2Label</f>
        <v>#REF!</v>
      </c>
      <c r="Y12" s="26"/>
      <c r="Z12" s="27"/>
    </row>
  </sheetData>
  <mergeCells count="4">
    <mergeCell ref="A2:A3"/>
    <mergeCell ref="B2:AF2"/>
    <mergeCell ref="AG2:AG3"/>
    <mergeCell ref="A11:AG11"/>
  </mergeCells>
  <conditionalFormatting sqref="B5:AF9">
    <cfRule type="expression" priority="1" stopIfTrue="1">
      <formula>B5=""</formula>
    </cfRule>
  </conditionalFormatting>
  <conditionalFormatting sqref="B5:AF9">
    <cfRule type="expression" dxfId="209" priority="2" stopIfTrue="1">
      <formula>B5=KeyCustom2</formula>
    </cfRule>
    <cfRule type="expression" dxfId="208" priority="3" stopIfTrue="1">
      <formula>B5=KeyCustom1</formula>
    </cfRule>
    <cfRule type="expression" dxfId="207" priority="4" stopIfTrue="1">
      <formula>B5=KeySick</formula>
    </cfRule>
    <cfRule type="expression" dxfId="206" priority="5" stopIfTrue="1">
      <formula>B5=KeyPersonal</formula>
    </cfRule>
    <cfRule type="expression" dxfId="205" priority="6" stopIfTrue="1">
      <formula>B5=KeyVacation</formula>
    </cfRule>
  </conditionalFormatting>
  <conditionalFormatting sqref="AG5:AG9">
    <cfRule type="dataBar" priority="28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{A550AEEE-9357-4FFF-B99F-F96B7CA41630}</x14:id>
        </ext>
      </extLst>
    </cfRule>
  </conditionalFormatting>
  <pageMargins left="0.25" right="0.25" top="0.75" bottom="0.75" header="0.3" footer="0.3"/>
  <pageSetup scale="80" fitToHeight="0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550AEEE-9357-4FFF-B99F-F96B7CA4163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2B7C6AD-4757-4354-B044-7DF1C9BC91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April!MonthName</vt:lpstr>
      <vt:lpstr>August!MonthName</vt:lpstr>
      <vt:lpstr>December!MonthName</vt:lpstr>
      <vt:lpstr>February!MonthName</vt:lpstr>
      <vt:lpstr>July!MonthName</vt:lpstr>
      <vt:lpstr>June!MonthName</vt:lpstr>
      <vt:lpstr>March!MonthName</vt:lpstr>
      <vt:lpstr>May!MonthName</vt:lpstr>
      <vt:lpstr>November!MonthName</vt:lpstr>
      <vt:lpstr>October!MonthName</vt:lpstr>
      <vt:lpstr>September!MonthName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2014-08-06T12:47:36Z</dcterms:created>
  <dcterms:modified xsi:type="dcterms:W3CDTF">2014-10-31T15:27:43Z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TC039871679991</vt:lpwstr>
  </property>
</Properties>
</file>